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9" tabRatio="706" activeTab="4"/>
  </bookViews>
  <sheets>
    <sheet name="Приложение 1" sheetId="2" r:id="rId1"/>
    <sheet name="Приложение 2 АЛЕНУШКА" sheetId="3" r:id="rId2"/>
    <sheet name="Приложение 4 ДШИ " sheetId="5" r:id="rId3"/>
    <sheet name="Приложение 5 ДЮСШ" sheetId="6" r:id="rId4"/>
    <sheet name="Приложение 6 СЮТ" sheetId="8" r:id="rId5"/>
    <sheet name="Приложение 7 ДК" sheetId="9" r:id="rId6"/>
  </sheets>
  <calcPr calcId="162913"/>
</workbook>
</file>

<file path=xl/calcChain.xml><?xml version="1.0" encoding="utf-8"?>
<calcChain xmlns="http://schemas.openxmlformats.org/spreadsheetml/2006/main">
  <c r="E20" i="8" l="1"/>
  <c r="F20" i="8"/>
  <c r="B21" i="8" l="1"/>
  <c r="O25" i="9"/>
  <c r="F25" i="9"/>
  <c r="R25" i="9"/>
  <c r="Q25" i="9"/>
  <c r="P25" i="9"/>
  <c r="H25" i="9"/>
  <c r="I25" i="9"/>
  <c r="J25" i="9"/>
  <c r="K25" i="9"/>
  <c r="L25" i="9"/>
  <c r="M25" i="9"/>
  <c r="N25" i="9"/>
  <c r="G25" i="9"/>
  <c r="B25" i="9"/>
  <c r="C25" i="9"/>
  <c r="D25" i="9"/>
  <c r="E25" i="9"/>
  <c r="Q25" i="5" l="1"/>
  <c r="O24" i="5"/>
  <c r="N24" i="5"/>
  <c r="E24" i="5"/>
  <c r="F24" i="5" s="1"/>
  <c r="M23" i="5"/>
  <c r="K23" i="5"/>
  <c r="J23" i="5"/>
  <c r="H23" i="5"/>
  <c r="N23" i="5" s="1"/>
  <c r="O23" i="5" s="1"/>
  <c r="G23" i="5"/>
  <c r="D23" i="5"/>
  <c r="C23" i="5"/>
  <c r="B23" i="5"/>
  <c r="M22" i="5"/>
  <c r="K22" i="5"/>
  <c r="J22" i="5"/>
  <c r="H22" i="5"/>
  <c r="G22" i="5"/>
  <c r="D22" i="5"/>
  <c r="C22" i="5"/>
  <c r="B22" i="5"/>
  <c r="E22" i="5" s="1"/>
  <c r="M21" i="5"/>
  <c r="K21" i="5"/>
  <c r="J21" i="5"/>
  <c r="H21" i="5"/>
  <c r="N21" i="5" s="1"/>
  <c r="O21" i="5" s="1"/>
  <c r="G21" i="5"/>
  <c r="D21" i="5"/>
  <c r="C21" i="5"/>
  <c r="B21" i="5"/>
  <c r="M20" i="5"/>
  <c r="K20" i="5"/>
  <c r="J20" i="5"/>
  <c r="H20" i="5"/>
  <c r="G20" i="5"/>
  <c r="D20" i="5"/>
  <c r="C20" i="5"/>
  <c r="B20" i="5"/>
  <c r="E20" i="5" s="1"/>
  <c r="E21" i="5" l="1"/>
  <c r="E23" i="5"/>
  <c r="N20" i="5"/>
  <c r="O20" i="5" s="1"/>
  <c r="N22" i="5"/>
  <c r="O22" i="5" s="1"/>
  <c r="P21" i="5"/>
  <c r="R21" i="5" s="1"/>
  <c r="F21" i="5"/>
  <c r="P23" i="5"/>
  <c r="R23" i="5" s="1"/>
  <c r="F23" i="5"/>
  <c r="F20" i="5"/>
  <c r="F22" i="5"/>
  <c r="P24" i="5"/>
  <c r="R24" i="5" s="1"/>
  <c r="P22" i="5" l="1"/>
  <c r="R22" i="5" s="1"/>
  <c r="P20" i="5"/>
  <c r="R20" i="5" s="1"/>
  <c r="K30" i="2"/>
  <c r="J30" i="2"/>
  <c r="C30" i="2"/>
  <c r="I30" i="2"/>
  <c r="B30" i="2"/>
  <c r="D30" i="2"/>
  <c r="H30" i="2"/>
  <c r="L30" i="2"/>
  <c r="M30" i="2"/>
  <c r="G30" i="2" l="1"/>
  <c r="E30" i="2"/>
  <c r="N30" i="2" l="1"/>
  <c r="P30" i="2" l="1"/>
  <c r="N23" i="3" l="1"/>
  <c r="N21" i="3"/>
  <c r="N24" i="3"/>
  <c r="E21" i="3"/>
  <c r="P21" i="3" s="1"/>
  <c r="E22" i="3"/>
  <c r="D25" i="3"/>
  <c r="N20" i="8"/>
  <c r="O20" i="8" l="1"/>
  <c r="P20" i="8"/>
  <c r="R20" i="8" s="1"/>
  <c r="E20" i="6"/>
  <c r="N21" i="6"/>
  <c r="O21" i="6" s="1"/>
  <c r="E21" i="6"/>
  <c r="M20" i="6"/>
  <c r="G20" i="6"/>
  <c r="F21" i="6" l="1"/>
  <c r="P21" i="6"/>
  <c r="R21" i="6" s="1"/>
  <c r="N20" i="6"/>
  <c r="O20" i="6" s="1"/>
  <c r="F20" i="6"/>
  <c r="P20" i="6" l="1"/>
  <c r="R20" i="6" s="1"/>
  <c r="E20" i="3"/>
  <c r="N20" i="3" l="1"/>
  <c r="O20" i="3" s="1"/>
  <c r="P20" i="3" l="1"/>
  <c r="O23" i="3"/>
  <c r="C25" i="3"/>
  <c r="L25" i="3" l="1"/>
  <c r="I25" i="3"/>
  <c r="O24" i="3"/>
  <c r="E24" i="3"/>
  <c r="E23" i="3"/>
  <c r="P23" i="3" s="1"/>
  <c r="N22" i="3"/>
  <c r="O21" i="3"/>
  <c r="M25" i="3"/>
  <c r="K25" i="3"/>
  <c r="J25" i="3"/>
  <c r="H25" i="3"/>
  <c r="G25" i="3"/>
  <c r="B25" i="3"/>
  <c r="O22" i="3" l="1"/>
  <c r="P22" i="3"/>
  <c r="R23" i="3"/>
  <c r="P24" i="3"/>
  <c r="R24" i="3" s="1"/>
  <c r="R21" i="3"/>
  <c r="R22" i="3"/>
  <c r="P25" i="3" l="1"/>
  <c r="E25" i="3"/>
  <c r="N25" i="3"/>
  <c r="R20" i="3" l="1"/>
  <c r="Q21" i="8" l="1"/>
  <c r="L21" i="8"/>
  <c r="I21" i="8"/>
  <c r="M21" i="8"/>
  <c r="K21" i="8"/>
  <c r="J21" i="8"/>
  <c r="H21" i="8"/>
  <c r="G21" i="8"/>
  <c r="D21" i="8"/>
  <c r="C21" i="8"/>
  <c r="Q22" i="6"/>
  <c r="L22" i="6"/>
  <c r="I22" i="6"/>
  <c r="M22" i="6"/>
  <c r="K22" i="6"/>
  <c r="J22" i="6"/>
  <c r="H22" i="6"/>
  <c r="G22" i="6"/>
  <c r="D22" i="6"/>
  <c r="C22" i="6"/>
  <c r="B22" i="6"/>
  <c r="M25" i="5"/>
  <c r="K25" i="5"/>
  <c r="J25" i="5"/>
  <c r="H25" i="5"/>
  <c r="G25" i="5"/>
  <c r="D25" i="5"/>
  <c r="C25" i="5"/>
  <c r="B25" i="5" l="1"/>
  <c r="R21" i="8" l="1"/>
  <c r="P21" i="8"/>
  <c r="E21" i="8"/>
  <c r="F21" i="8" s="1"/>
  <c r="N21" i="8"/>
  <c r="O21" i="8" s="1"/>
  <c r="E22" i="6"/>
  <c r="N22" i="6"/>
  <c r="N25" i="5"/>
  <c r="P22" i="6" l="1"/>
  <c r="L25" i="5"/>
  <c r="I25" i="5" l="1"/>
  <c r="E25" i="5" l="1"/>
  <c r="P25" i="5" l="1"/>
</calcChain>
</file>

<file path=xl/comments1.xml><?xml version="1.0" encoding="utf-8"?>
<comments xmlns="http://schemas.openxmlformats.org/spreadsheetml/2006/main">
  <authors>
    <author>Автор</author>
  </authors>
  <commentList>
    <comment ref="C2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спортивная форма
спортивный инвентарь</t>
        </r>
      </text>
    </comment>
    <comment ref="D2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
повыш кваллиф 25000   гигиенч обучение 0   медали,кубки, сувениры 133880</t>
        </r>
      </text>
    </comment>
    <comment ref="I2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налог на имущество+ бассейн содержание в пхд</t>
        </r>
      </text>
    </comment>
    <comment ref="J20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заправка картриджа 0,00   аккарац обр 1560,    ремонт оргт 0,0    техосм снегохо 10000   </t>
        </r>
      </text>
    </comment>
  </commentList>
</comments>
</file>

<file path=xl/sharedStrings.xml><?xml version="1.0" encoding="utf-8"?>
<sst xmlns="http://schemas.openxmlformats.org/spreadsheetml/2006/main" count="340" uniqueCount="110">
  <si>
    <t>Наименование муниципальной услуги</t>
  </si>
  <si>
    <t>Итого затраты учреждения на оказание муниципальных услуг</t>
  </si>
  <si>
    <t>Объем муниципальных услуг</t>
  </si>
  <si>
    <t>Затраты на приобретение расходных материалов, материальных запасов</t>
  </si>
  <si>
    <t>Прочие расходы, непосредственно связанные с оказанием услуги</t>
  </si>
  <si>
    <t xml:space="preserve">Очередной финансовый год </t>
  </si>
  <si>
    <t>ИТОГО</t>
  </si>
  <si>
    <t>тыс.руб.</t>
  </si>
  <si>
    <t>РАСЧЕТ НОРМАТИВНЫХ ЗАТРАТ, СВЯЗАННЫХ С ОКАЗАНИЕМ МУНИЦИПАЛЬНЫХ УСЛУГ</t>
  </si>
  <si>
    <t xml:space="preserve">                  </t>
  </si>
  <si>
    <t>Наименование муниципальной услуги (работы)</t>
  </si>
  <si>
    <t>Коммунальные услуги</t>
  </si>
  <si>
    <t>Базовые нормативные затраты, непосредственно связанные с оказанием муниципальной услуги</t>
  </si>
  <si>
    <t>Базовые затраты на общехозяйственные нужды  на оказание муниципальной услуги</t>
  </si>
  <si>
    <t>Содержание объектов недвижимого имущества</t>
  </si>
  <si>
    <t>Содержание объектов особо ценного движимого имущества</t>
  </si>
  <si>
    <t>Приобретение услуг связи</t>
  </si>
  <si>
    <t>Приобретение транспортных услуг</t>
  </si>
  <si>
    <t>Прочие 
общехозяйственные нужды</t>
  </si>
  <si>
    <t>(гр.5+гр.14)</t>
  </si>
  <si>
    <t>-</t>
  </si>
  <si>
    <t>%
гр.5/гр.16</t>
  </si>
  <si>
    <t>%
гр.14/гр.16</t>
  </si>
  <si>
    <t>Нормативные затраты на единицу оказания муниципальной услуги</t>
  </si>
  <si>
    <t>единиц
(чел.-час)</t>
  </si>
  <si>
    <t>тыс.руб. 
на
единицу</t>
  </si>
  <si>
    <t xml:space="preserve">единиц
</t>
  </si>
  <si>
    <t xml:space="preserve">
гр.5/гр.17</t>
  </si>
  <si>
    <t xml:space="preserve">
гр.14/гр.17</t>
  </si>
  <si>
    <t>%
гр.5/гр.17</t>
  </si>
  <si>
    <t>%
гр.14/гр.17</t>
  </si>
  <si>
    <t>Нормативные затраты на единицу оказания муниципальной услуги 5</t>
  </si>
  <si>
    <r>
      <t>Затраты на оплату труда и начисления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1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</si>
  <si>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8"/>
        <color theme="1"/>
        <rFont val="Liberation Serif"/>
        <family val="1"/>
        <charset val="204"/>
      </rPr>
      <t xml:space="preserve"> </t>
    </r>
  </si>
  <si>
    <r>
      <t>Оплата труда с начисленими на выплаты по оплате труда</t>
    </r>
    <r>
      <rPr>
        <vertAlign val="superscript"/>
        <sz val="10"/>
        <color theme="1"/>
        <rFont val="Liberation Serif"/>
        <family val="1"/>
        <charset val="204"/>
      </rPr>
      <t>3</t>
    </r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</si>
  <si>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4</t>
    </r>
  </si>
  <si>
    <r>
      <t>1.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</si>
  <si>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>2.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</si>
  <si>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>3.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</si>
  <si>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>4.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 14 = гр.7+гр.8+гр.9+гр.10+гр.11+гр.12+гр.13</t>
    </r>
  </si>
  <si>
    <r>
      <t>5.</t>
    </r>
    <r>
      <rPr>
        <vertAlign val="superscript"/>
        <sz val="7"/>
        <color theme="1"/>
        <rFont val="Liberation Serif"/>
        <family val="1"/>
        <charset val="204"/>
      </rPr>
      <t xml:space="preserve">         </t>
    </r>
    <r>
      <rPr>
        <sz val="10"/>
        <color theme="1"/>
        <rFont val="Liberation Serif"/>
        <family val="1"/>
        <charset val="204"/>
      </rPr>
      <t>Гр.16/гр.17.</t>
    </r>
  </si>
  <si>
    <t>Услуга: Реализация основных общеобразовательных программ  начального общего образования
(801012О.99.0.БА81АЦ60001)</t>
  </si>
  <si>
    <t>Услуга: Реализация адаптированных основных общеобразовательных программ начального общего образования 
(801012О.99.0.БА82АЛ78001)</t>
  </si>
  <si>
    <t>Услуга: Реализация основных общеобразовательных программ  основного общего образования
(802111О.99.0.БА96АЧ08001)</t>
  </si>
  <si>
    <t>Услуга:Реализация основных общеобразовательных программ среднего общего образования (802112О.99.0.ББ11АЧ08001)</t>
  </si>
  <si>
    <t>Услуга:Предоставление питания(560200О.99.0.БА89АА00000)</t>
  </si>
  <si>
    <t>Услуга:Предоставление питания(560200О.99.0.ББ03АА00000)</t>
  </si>
  <si>
    <t>Услуга:Предоставление питания(560200О.99.0.ББ18АА00000)</t>
  </si>
  <si>
    <t>Услуга: Организация отдыха детей и молодежи
(920700О.99.0А322АА01001)</t>
  </si>
  <si>
    <t>Услуга: Организация отдыха детей и молодежи
(920700О.99.0А322АА00001)</t>
  </si>
  <si>
    <t>Реализация основных общеобразовательных программ дошкольного образования
(801011О.99.0.БВ24ВТ22000-
от 1 года до 3 лет)</t>
  </si>
  <si>
    <t>Реализация основных общеобразовательных программ дошкольного образования
(801011О.99.0.БВ24ВУ42000-
от 3 лет до 8 лет)</t>
  </si>
  <si>
    <t>Реализация основных общеобразовательных программ дошкольного образования
(801011О.99.0.БВ24АВ42000-
адаптированная программа 
от 3 лет до 8 лет)</t>
  </si>
  <si>
    <t>Присмотр и уход 
(853211О.99.0.БВ19АА50000
 от 1 года до 3 лет)</t>
  </si>
  <si>
    <t>Присмотр и уход 
(853211О.99.0.БВ19АА56000
 от 3 лет до 8 лет)</t>
  </si>
  <si>
    <t>Реализация дополнительных общеобразовательных предпрофессиональных программ в области искусств
 (801012О.99.0.ББ56АЕ20001 - 
духовые и ударные инструменты)</t>
  </si>
  <si>
    <t>Реализация дополнительных общеобразовательных предпрофессиональных программ в области искусств 
(801012О.99.0.ББ56АВ76000 - 
Струнные инструменты)</t>
  </si>
  <si>
    <t>Реализация дополнительных общеобразовательных предпрофессиональных программ в области искусств 
(801012О.99.0.ББ56АА32001 - 
Фортепиано)</t>
  </si>
  <si>
    <t>Реализация дополнительных общеобразовательных предпрофессиональных программ в области искусств 
(801012О.99.0.ББ56АЕ84001 - 
Народные инструменты)</t>
  </si>
  <si>
    <t>Реализация дополнительных общеразвивающих программ (804200О.99.0.ББ52АЖ48000)</t>
  </si>
  <si>
    <t>Реализация дополнительных общеразвивающих программ (804200О.99.0.ББ52АЕ52000)</t>
  </si>
  <si>
    <t>Организация отдыха детей и молодежи (920700О.99.0.АЗ22АА00001)</t>
  </si>
  <si>
    <t>Реализация дополнительных общеразвивающих программ (801012О.99.0.ББ57АЕ04000)</t>
  </si>
  <si>
    <t>40 (чел.)</t>
  </si>
  <si>
    <t>110 525       (чел.-час)</t>
  </si>
  <si>
    <t xml:space="preserve"> </t>
  </si>
  <si>
    <t>городского округа ЗАТО Свободный</t>
  </si>
  <si>
    <r>
      <t>ВСЕГО</t>
    </r>
    <r>
      <rPr>
        <vertAlign val="superscript"/>
        <sz val="10"/>
        <color theme="1"/>
        <rFont val="Liberation Serif"/>
        <family val="1"/>
        <charset val="204"/>
      </rPr>
      <t>2</t>
    </r>
    <r>
      <rPr>
        <sz val="10"/>
        <color theme="1"/>
        <rFont val="Liberation Serif"/>
        <family val="1"/>
        <charset val="204"/>
      </rPr>
      <t xml:space="preserve"> </t>
    </r>
  </si>
  <si>
    <r>
      <t xml:space="preserve">1.        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персонала непосредственно участвующего в оказании муниципальной услуги</t>
    </r>
    <r>
      <rPr>
        <sz val="10"/>
        <color theme="1"/>
        <rFont val="Liberation Serif"/>
        <family val="1"/>
        <charset val="204"/>
      </rPr>
      <t>.</t>
    </r>
  </si>
  <si>
    <r>
      <t xml:space="preserve">2.         </t>
    </r>
    <r>
      <rPr>
        <sz val="10"/>
        <color theme="1"/>
        <rFont val="Liberation Serif"/>
        <family val="1"/>
        <charset val="204"/>
      </rPr>
      <t>Гр. 5 = гр.2+гр.3+гр.4</t>
    </r>
  </si>
  <si>
    <r>
      <t xml:space="preserve">3.         </t>
    </r>
    <r>
      <rPr>
        <sz val="10"/>
        <color theme="1"/>
        <rFont val="Liberation Serif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0"/>
        <color theme="1"/>
        <rFont val="Liberation Serif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</si>
  <si>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4.         </t>
    </r>
    <r>
      <rPr>
        <sz val="10"/>
        <color theme="1"/>
        <rFont val="Liberation Serif"/>
        <family val="1"/>
        <charset val="204"/>
      </rPr>
      <t>Гр. 12 = гр.7+гр.8+гр.9+гр.10+гр.11.</t>
    </r>
  </si>
  <si>
    <r>
      <t xml:space="preserve">5.         </t>
    </r>
    <r>
      <rPr>
        <sz val="10"/>
        <color theme="1"/>
        <rFont val="Liberation Serif"/>
        <family val="1"/>
        <charset val="204"/>
      </rPr>
      <t>Гр.14+гр.17.</t>
    </r>
  </si>
  <si>
    <r>
      <t xml:space="preserve">6.         </t>
    </r>
    <r>
      <rPr>
        <sz val="10"/>
        <color theme="1"/>
        <rFont val="Liberation Serif"/>
        <family val="1"/>
        <charset val="204"/>
      </rPr>
      <t>Гр.18/гр.15.</t>
    </r>
  </si>
  <si>
    <t xml:space="preserve">РАСЧЕТ  НОРМАТИВНЫХ ЗАТРАТ, СВЯЗАННЫХ С ОКАЗАНИЕМ МУНИЦИПАЛЬНЫХ УСЛУГ 
                                      на 2022 год </t>
  </si>
  <si>
    <t xml:space="preserve">Нормативные затраты на единицу оказания муниципальной услуги </t>
  </si>
  <si>
    <t>Затраты на оплату труда и начисления на выплаты по оплате труда1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</si>
  <si>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</t>
    </r>
  </si>
  <si>
    <t>Оплата труда и начисления на выплаты по оплате труда3</t>
  </si>
  <si>
    <t>Содержание особо ценного движимого имущества</t>
  </si>
  <si>
    <t>Прочие затраты на общехозяйственные нужды</t>
  </si>
  <si>
    <r>
      <t>ВСЕГО</t>
    </r>
    <r>
      <rPr>
        <vertAlign val="superscript"/>
        <sz val="12"/>
        <color theme="1"/>
        <rFont val="Times New Roman"/>
        <family val="1"/>
        <charset val="204"/>
      </rPr>
      <t>4</t>
    </r>
  </si>
  <si>
    <t>единиц</t>
  </si>
  <si>
    <t>тыс.руб.  
на единицу</t>
  </si>
  <si>
    <t>ИТОГО:</t>
  </si>
  <si>
    <r>
      <t xml:space="preserve">1.        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персонала непосредственно участвующего в оказании муниципальной услуги</t>
    </r>
    <r>
      <rPr>
        <sz val="12"/>
        <color theme="1"/>
        <rFont val="Times New Roman"/>
        <family val="1"/>
        <charset val="204"/>
      </rPr>
      <t>.</t>
    </r>
  </si>
  <si>
    <r>
      <t xml:space="preserve">2.         </t>
    </r>
    <r>
      <rPr>
        <sz val="12"/>
        <color theme="1"/>
        <rFont val="Times New Roman"/>
        <family val="1"/>
        <charset val="204"/>
      </rPr>
      <t>Гр. 5 = гр.2+гр.3+гр.4</t>
    </r>
  </si>
  <si>
    <r>
      <t xml:space="preserve">3.         </t>
    </r>
    <r>
      <rPr>
        <sz val="12"/>
        <color theme="1"/>
        <rFont val="Times New Roman"/>
        <family val="1"/>
        <charset val="204"/>
      </rPr>
      <t xml:space="preserve">Указываются отдельно затраты на оплату труда (КОСГУ 211) и начисления на выплаты по оплате труда (КОСГУ 213), </t>
    </r>
    <r>
      <rPr>
        <b/>
        <sz val="12"/>
        <color theme="1"/>
        <rFont val="Times New Roman"/>
        <family val="1"/>
        <charset val="204"/>
      </rPr>
      <t>персоналу  не занятому непосредственно в процессе оказания муниципальных услуг.</t>
    </r>
  </si>
  <si>
    <r>
      <t xml:space="preserve">4.                  </t>
    </r>
    <r>
      <rPr>
        <sz val="12"/>
        <color theme="1"/>
        <rFont val="Times New Roman"/>
        <family val="1"/>
        <charset val="204"/>
      </rPr>
      <t>Гр. 14 = гр.7+гр.8+гр.9+гр.10+гр.11+гр.12+гр.13</t>
    </r>
  </si>
  <si>
    <r>
      <t xml:space="preserve">5.                  </t>
    </r>
    <r>
      <rPr>
        <sz val="12"/>
        <color theme="1"/>
        <rFont val="Times New Roman"/>
        <family val="1"/>
        <charset val="204"/>
      </rPr>
      <t>Гр.16/гр.17.</t>
    </r>
  </si>
  <si>
    <t>Итого затраты учреждения на оказание муниципальных услуг (гр.5+гр.14)</t>
  </si>
  <si>
    <t>от «___» декабря 2022 года №______</t>
  </si>
  <si>
    <t>Муниципальным бюджетным общеобразовательным учреждением «Средняя школа № 25 им. Героя Советского Союза генерал-лейтенанта 
Д.М. Карбышева с кадетскими классами»</t>
  </si>
  <si>
    <t>Муниципальным бюджетным дошкольным образовательным учреждением «Детский сад № 17 «Алёнушка»</t>
  </si>
  <si>
    <t>Муниципальным бюджетным учреждением дополнительного образования «Детская школа искусств»</t>
  </si>
  <si>
    <t>Муниципальным бюджетным учреждением дополнительного образования «Детско-юношеская спортивная школа»</t>
  </si>
  <si>
    <t>Муниципальное бюджетное учреждение культуры Дворец культуры «Свободный»</t>
  </si>
  <si>
    <t>Организация деятельности клубных формирований и формирований самодеятельного народного творчества (949916О.99.0.ББ78АА00003)</t>
  </si>
  <si>
    <t>Показ (организация показа) концертных программ (стационар) (900100О.99.0.ББ81АА00000)</t>
  </si>
  <si>
    <t>Показ (организация показа) концертных программ (на выезде) (900100О.99.0.ББ81АА01000)</t>
  </si>
  <si>
    <t xml:space="preserve"> Библиотечное, библиографическое и информационное обслуживание
пользователей библиотеки (910100О.99.0.ББ83АА00000)</t>
  </si>
  <si>
    <t>Организация и проведение мероприятий (900400О.99.0.ББ72АА00000)</t>
  </si>
  <si>
    <t>Формирование, учет, изучение, обеспечение физического сохранения и 
безопасности фондов библиотек, включая оцифровку фондов (910000.Р.68.1.13830001000)</t>
  </si>
  <si>
    <t xml:space="preserve">Библиографическая обработка документов и создание каталогов (910000.Р.68.1.13830001000)
</t>
  </si>
  <si>
    <t>Услуга: Реализация основных общеобразовательных программ  основного общего образования
(адаптированная программа) (802111О.99.0.БА96АА00001)</t>
  </si>
  <si>
    <t>УТВЕРЖДЕНО</t>
  </si>
  <si>
    <t>постановлением администрации</t>
  </si>
  <si>
    <t>Муниципальным казенным учреждением дополнительного образования Станция юных техников</t>
  </si>
  <si>
    <t>Утвержден</t>
  </si>
  <si>
    <t>от «28» сентября 2023 года №544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</si>
</sst>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0.0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8"/>
      <color theme="1"/>
      <name val="Liberation Serif"/>
      <family val="1"/>
      <charset val="204"/>
    </font>
    <font>
      <vertAlign val="superscript"/>
      <sz val="11"/>
      <color theme="1"/>
      <name val="Liberation Serif"/>
      <family val="1"/>
      <charset val="204"/>
    </font>
    <font>
      <vertAlign val="superscript"/>
      <sz val="10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vertAlign val="superscript"/>
      <sz val="7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26"/>
      <color theme="1"/>
      <name val="Liberation Serif"/>
      <family val="1"/>
      <charset val="204"/>
    </font>
    <font>
      <sz val="10"/>
      <name val="Liberation Serif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theme="1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Liberation Serif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259">
    <xf numFmtId="0" fontId="0" fillId="0" borderId="0" xfId="0"/>
    <xf numFmtId="2" fontId="0" fillId="0" borderId="0" xfId="0" applyNumberFormat="1"/>
    <xf numFmtId="2" fontId="1" fillId="2" borderId="17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40" xfId="0" applyFont="1" applyBorder="1" applyAlignment="1">
      <alignment vertical="top" wrapText="1"/>
    </xf>
    <xf numFmtId="0" fontId="3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42" xfId="0" applyFont="1" applyBorder="1"/>
    <xf numFmtId="0" fontId="3" fillId="0" borderId="20" xfId="0" applyFont="1" applyBorder="1"/>
    <xf numFmtId="164" fontId="5" fillId="2" borderId="45" xfId="1" applyFont="1" applyFill="1" applyBorder="1" applyAlignment="1">
      <alignment horizontal="center" vertical="center" wrapText="1"/>
    </xf>
    <xf numFmtId="2" fontId="5" fillId="2" borderId="45" xfId="1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4" fontId="5" fillId="2" borderId="23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horizontal="center" vertical="center" wrapText="1"/>
    </xf>
    <xf numFmtId="165" fontId="5" fillId="0" borderId="44" xfId="1" applyNumberFormat="1" applyFont="1" applyBorder="1" applyAlignment="1">
      <alignment vertical="center" wrapText="1"/>
    </xf>
    <xf numFmtId="164" fontId="5" fillId="0" borderId="24" xfId="1" applyNumberFormat="1" applyFont="1" applyBorder="1" applyAlignment="1">
      <alignment vertical="center" wrapText="1"/>
    </xf>
    <xf numFmtId="0" fontId="9" fillId="0" borderId="0" xfId="0" applyFont="1" applyAlignment="1">
      <alignment horizontal="left" vertical="center" indent="2"/>
    </xf>
    <xf numFmtId="0" fontId="5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5" fillId="2" borderId="51" xfId="1" applyNumberFormat="1" applyFont="1" applyFill="1" applyBorder="1" applyAlignment="1">
      <alignment horizontal="center" vertical="center" wrapText="1"/>
    </xf>
    <xf numFmtId="164" fontId="5" fillId="0" borderId="24" xfId="1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4" fillId="0" borderId="0" xfId="0" applyFont="1" applyAlignment="1">
      <alignment horizontal="left"/>
    </xf>
    <xf numFmtId="0" fontId="5" fillId="0" borderId="46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164" fontId="5" fillId="2" borderId="25" xfId="1" applyFont="1" applyFill="1" applyBorder="1" applyAlignment="1">
      <alignment horizontal="center" vertical="center" wrapText="1"/>
    </xf>
    <xf numFmtId="2" fontId="5" fillId="2" borderId="25" xfId="1" applyNumberFormat="1" applyFont="1" applyFill="1" applyBorder="1" applyAlignment="1">
      <alignment horizontal="center" vertical="center" wrapText="1"/>
    </xf>
    <xf numFmtId="164" fontId="5" fillId="2" borderId="25" xfId="1" applyFont="1" applyFill="1" applyBorder="1" applyAlignment="1">
      <alignment horizontal="center" vertical="center"/>
    </xf>
    <xf numFmtId="2" fontId="5" fillId="2" borderId="25" xfId="1" applyNumberFormat="1" applyFont="1" applyFill="1" applyBorder="1" applyAlignment="1">
      <alignment horizontal="center" vertical="center"/>
    </xf>
    <xf numFmtId="165" fontId="5" fillId="2" borderId="50" xfId="1" applyNumberFormat="1" applyFont="1" applyFill="1" applyBorder="1" applyAlignment="1">
      <alignment vertical="center"/>
    </xf>
    <xf numFmtId="164" fontId="5" fillId="2" borderId="26" xfId="1" applyNumberFormat="1" applyFont="1" applyFill="1" applyBorder="1" applyAlignment="1">
      <alignment vertical="center"/>
    </xf>
    <xf numFmtId="2" fontId="3" fillId="2" borderId="0" xfId="0" applyNumberFormat="1" applyFont="1" applyFill="1"/>
    <xf numFmtId="0" fontId="3" fillId="2" borderId="0" xfId="0" applyFont="1" applyFill="1"/>
    <xf numFmtId="0" fontId="10" fillId="2" borderId="17" xfId="0" applyFont="1" applyFill="1" applyBorder="1" applyAlignment="1">
      <alignment horizontal="center" wrapText="1"/>
    </xf>
    <xf numFmtId="2" fontId="5" fillId="2" borderId="17" xfId="1" applyNumberFormat="1" applyFont="1" applyFill="1" applyBorder="1" applyAlignment="1">
      <alignment horizontal="center" vertical="center" wrapText="1"/>
    </xf>
    <xf numFmtId="165" fontId="5" fillId="2" borderId="43" xfId="1" applyNumberFormat="1" applyFont="1" applyFill="1" applyBorder="1" applyAlignment="1">
      <alignment vertical="center" wrapText="1"/>
    </xf>
    <xf numFmtId="0" fontId="14" fillId="2" borderId="27" xfId="0" applyFont="1" applyFill="1" applyBorder="1" applyAlignment="1">
      <alignment horizontal="center" wrapText="1"/>
    </xf>
    <xf numFmtId="164" fontId="5" fillId="2" borderId="45" xfId="1" applyFont="1" applyFill="1" applyBorder="1" applyAlignment="1">
      <alignment horizontal="center" vertical="center"/>
    </xf>
    <xf numFmtId="165" fontId="5" fillId="2" borderId="47" xfId="1" applyNumberFormat="1" applyFont="1" applyFill="1" applyBorder="1" applyAlignment="1">
      <alignment vertical="center" wrapText="1"/>
    </xf>
    <xf numFmtId="2" fontId="1" fillId="2" borderId="25" xfId="1" applyNumberFormat="1" applyFont="1" applyFill="1" applyBorder="1" applyAlignment="1">
      <alignment horizontal="center" vertical="center"/>
    </xf>
    <xf numFmtId="49" fontId="5" fillId="0" borderId="44" xfId="1" applyNumberFormat="1" applyFont="1" applyBorder="1" applyAlignment="1">
      <alignment horizontal="center" vertical="center" wrapText="1"/>
    </xf>
    <xf numFmtId="49" fontId="5" fillId="0" borderId="24" xfId="1" applyNumberFormat="1" applyFont="1" applyBorder="1" applyAlignment="1">
      <alignment horizontal="center" vertical="center" wrapText="1"/>
    </xf>
    <xf numFmtId="165" fontId="5" fillId="0" borderId="44" xfId="1" applyNumberFormat="1" applyFont="1" applyBorder="1" applyAlignment="1">
      <alignment horizontal="center" vertical="center" wrapText="1"/>
    </xf>
    <xf numFmtId="0" fontId="15" fillId="0" borderId="0" xfId="0" applyFont="1" applyAlignment="1"/>
    <xf numFmtId="164" fontId="16" fillId="0" borderId="25" xfId="1" applyFont="1" applyBorder="1" applyAlignment="1">
      <alignment horizontal="center" vertical="center" wrapText="1"/>
    </xf>
    <xf numFmtId="2" fontId="16" fillId="0" borderId="25" xfId="1" applyNumberFormat="1" applyFont="1" applyBorder="1" applyAlignment="1">
      <alignment horizontal="center" vertical="center" wrapText="1"/>
    </xf>
    <xf numFmtId="164" fontId="16" fillId="0" borderId="25" xfId="1" applyFont="1" applyBorder="1" applyAlignment="1">
      <alignment horizontal="center" vertical="center"/>
    </xf>
    <xf numFmtId="2" fontId="16" fillId="0" borderId="17" xfId="1" applyNumberFormat="1" applyFont="1" applyBorder="1" applyAlignment="1">
      <alignment horizontal="center" vertical="center" wrapText="1"/>
    </xf>
    <xf numFmtId="165" fontId="16" fillId="0" borderId="43" xfId="1" applyNumberFormat="1" applyFont="1" applyBorder="1" applyAlignment="1">
      <alignment horizontal="center" vertical="center" wrapText="1"/>
    </xf>
    <xf numFmtId="164" fontId="16" fillId="0" borderId="26" xfId="1" applyFont="1" applyBorder="1" applyAlignment="1">
      <alignment horizontal="center" vertical="center"/>
    </xf>
    <xf numFmtId="2" fontId="16" fillId="0" borderId="45" xfId="1" applyNumberFormat="1" applyFont="1" applyBorder="1" applyAlignment="1">
      <alignment horizontal="center" vertical="center" wrapText="1"/>
    </xf>
    <xf numFmtId="164" fontId="16" fillId="0" borderId="45" xfId="1" applyFont="1" applyBorder="1" applyAlignment="1">
      <alignment horizontal="center" vertical="center"/>
    </xf>
    <xf numFmtId="164" fontId="16" fillId="0" borderId="28" xfId="1" applyFont="1" applyBorder="1" applyAlignment="1">
      <alignment horizontal="center" vertical="center"/>
    </xf>
    <xf numFmtId="2" fontId="16" fillId="0" borderId="25" xfId="1" applyNumberFormat="1" applyFont="1" applyBorder="1" applyAlignment="1">
      <alignment horizontal="center" vertical="center"/>
    </xf>
    <xf numFmtId="2" fontId="16" fillId="0" borderId="28" xfId="1" applyNumberFormat="1" applyFont="1" applyBorder="1" applyAlignment="1">
      <alignment horizontal="center" vertical="center"/>
    </xf>
    <xf numFmtId="165" fontId="16" fillId="0" borderId="47" xfId="1" applyNumberFormat="1" applyFont="1" applyBorder="1" applyAlignment="1">
      <alignment horizontal="center" vertical="center" wrapText="1"/>
    </xf>
    <xf numFmtId="164" fontId="16" fillId="0" borderId="29" xfId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4" fontId="1" fillId="0" borderId="45" xfId="1" applyFont="1" applyBorder="1" applyAlignment="1">
      <alignment horizontal="center" vertical="center" wrapText="1"/>
    </xf>
    <xf numFmtId="164" fontId="1" fillId="0" borderId="45" xfId="1" applyFont="1" applyBorder="1" applyAlignment="1">
      <alignment horizontal="center" vertical="center"/>
    </xf>
    <xf numFmtId="164" fontId="1" fillId="0" borderId="28" xfId="1" applyFont="1" applyBorder="1" applyAlignment="1">
      <alignment horizontal="center" vertical="center"/>
    </xf>
    <xf numFmtId="2" fontId="1" fillId="0" borderId="45" xfId="1" applyNumberFormat="1" applyFont="1" applyBorder="1" applyAlignment="1">
      <alignment horizontal="center" vertical="center" wrapText="1"/>
    </xf>
    <xf numFmtId="165" fontId="1" fillId="0" borderId="47" xfId="1" applyNumberFormat="1" applyFont="1" applyBorder="1" applyAlignment="1">
      <alignment vertical="center" wrapText="1"/>
    </xf>
    <xf numFmtId="164" fontId="1" fillId="0" borderId="29" xfId="1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vertical="top" wrapText="1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42" xfId="0" applyFont="1" applyBorder="1"/>
    <xf numFmtId="0" fontId="5" fillId="0" borderId="20" xfId="0" applyFont="1" applyBorder="1"/>
    <xf numFmtId="0" fontId="13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1" fillId="2" borderId="25" xfId="1" applyFont="1" applyFill="1" applyBorder="1" applyAlignment="1">
      <alignment horizontal="center" vertical="center" wrapText="1"/>
    </xf>
    <xf numFmtId="164" fontId="1" fillId="2" borderId="25" xfId="1" applyFont="1" applyFill="1" applyBorder="1" applyAlignment="1">
      <alignment horizontal="center" vertical="center"/>
    </xf>
    <xf numFmtId="39" fontId="1" fillId="2" borderId="25" xfId="1" applyNumberFormat="1" applyFont="1" applyFill="1" applyBorder="1" applyAlignment="1">
      <alignment horizontal="center" vertical="center" wrapText="1"/>
    </xf>
    <xf numFmtId="165" fontId="1" fillId="2" borderId="50" xfId="1" applyNumberFormat="1" applyFont="1" applyFill="1" applyBorder="1" applyAlignment="1">
      <alignment vertical="center"/>
    </xf>
    <xf numFmtId="164" fontId="1" fillId="2" borderId="26" xfId="1" applyNumberFormat="1" applyFont="1" applyFill="1" applyBorder="1" applyAlignment="1">
      <alignment vertical="center"/>
    </xf>
    <xf numFmtId="165" fontId="1" fillId="2" borderId="43" xfId="1" applyNumberFormat="1" applyFont="1" applyFill="1" applyBorder="1" applyAlignment="1">
      <alignment vertical="center" wrapText="1"/>
    </xf>
    <xf numFmtId="164" fontId="1" fillId="2" borderId="45" xfId="1" applyFont="1" applyFill="1" applyBorder="1" applyAlignment="1">
      <alignment horizontal="center" vertical="center" wrapText="1"/>
    </xf>
    <xf numFmtId="164" fontId="1" fillId="2" borderId="45" xfId="1" applyFont="1" applyFill="1" applyBorder="1" applyAlignment="1">
      <alignment horizontal="center" vertical="center"/>
    </xf>
    <xf numFmtId="2" fontId="1" fillId="2" borderId="45" xfId="1" applyNumberFormat="1" applyFont="1" applyFill="1" applyBorder="1" applyAlignment="1">
      <alignment horizontal="center" vertical="center" wrapText="1"/>
    </xf>
    <xf numFmtId="164" fontId="1" fillId="2" borderId="28" xfId="1" applyFont="1" applyFill="1" applyBorder="1" applyAlignment="1">
      <alignment horizontal="center" vertical="center"/>
    </xf>
    <xf numFmtId="165" fontId="1" fillId="2" borderId="47" xfId="1" applyNumberFormat="1" applyFont="1" applyFill="1" applyBorder="1" applyAlignment="1">
      <alignment vertical="center" wrapText="1"/>
    </xf>
    <xf numFmtId="2" fontId="5" fillId="0" borderId="44" xfId="1" applyNumberFormat="1" applyFont="1" applyBorder="1" applyAlignment="1">
      <alignment horizontal="center" vertical="center" wrapText="1"/>
    </xf>
    <xf numFmtId="0" fontId="5" fillId="0" borderId="0" xfId="0" applyFont="1"/>
    <xf numFmtId="0" fontId="13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53" xfId="0" applyFont="1" applyBorder="1"/>
    <xf numFmtId="0" fontId="3" fillId="0" borderId="54" xfId="0" applyFont="1" applyBorder="1"/>
    <xf numFmtId="0" fontId="3" fillId="0" borderId="48" xfId="0" applyFont="1" applyBorder="1"/>
    <xf numFmtId="0" fontId="5" fillId="0" borderId="55" xfId="0" applyFont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vertical="center"/>
    </xf>
    <xf numFmtId="4" fontId="5" fillId="0" borderId="17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vertical="center"/>
    </xf>
    <xf numFmtId="2" fontId="5" fillId="0" borderId="56" xfId="0" applyNumberFormat="1" applyFont="1" applyBorder="1" applyAlignment="1">
      <alignment horizontal="left" vertical="center" wrapText="1"/>
    </xf>
    <xf numFmtId="0" fontId="5" fillId="0" borderId="56" xfId="0" applyFont="1" applyBorder="1" applyAlignment="1">
      <alignment horizontal="left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left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16" fillId="0" borderId="45" xfId="1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20" fillId="0" borderId="0" xfId="2" applyFont="1"/>
    <xf numFmtId="0" fontId="20" fillId="0" borderId="7" xfId="2" applyFont="1" applyBorder="1"/>
    <xf numFmtId="0" fontId="20" fillId="0" borderId="7" xfId="2" applyFont="1" applyBorder="1" applyAlignment="1">
      <alignment horizontal="center"/>
    </xf>
    <xf numFmtId="0" fontId="20" fillId="0" borderId="7" xfId="2" applyFont="1" applyBorder="1" applyAlignment="1">
      <alignment horizontal="center" wrapText="1"/>
    </xf>
    <xf numFmtId="0" fontId="20" fillId="0" borderId="10" xfId="2" applyFont="1" applyBorder="1" applyAlignment="1">
      <alignment horizontal="center"/>
    </xf>
    <xf numFmtId="0" fontId="20" fillId="0" borderId="17" xfId="2" applyFont="1" applyBorder="1" applyAlignment="1">
      <alignment horizontal="center" wrapText="1"/>
    </xf>
    <xf numFmtId="0" fontId="20" fillId="0" borderId="15" xfId="2" applyFont="1" applyBorder="1" applyAlignment="1">
      <alignment horizontal="center"/>
    </xf>
    <xf numFmtId="0" fontId="20" fillId="0" borderId="63" xfId="2" applyFont="1" applyBorder="1" applyAlignment="1">
      <alignment horizontal="center"/>
    </xf>
    <xf numFmtId="0" fontId="23" fillId="0" borderId="18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19" xfId="2" applyFont="1" applyBorder="1"/>
    <xf numFmtId="0" fontId="20" fillId="0" borderId="21" xfId="2" applyFont="1" applyBorder="1" applyAlignment="1">
      <alignment horizontal="left" vertical="center" wrapText="1"/>
    </xf>
    <xf numFmtId="4" fontId="20" fillId="0" borderId="17" xfId="2" applyNumberFormat="1" applyFont="1" applyBorder="1" applyAlignment="1">
      <alignment horizontal="center" vertical="center" wrapText="1"/>
    </xf>
    <xf numFmtId="166" fontId="20" fillId="0" borderId="17" xfId="2" applyNumberFormat="1" applyFont="1" applyBorder="1" applyAlignment="1">
      <alignment horizontal="center" vertical="center" wrapText="1"/>
    </xf>
    <xf numFmtId="4" fontId="20" fillId="0" borderId="17" xfId="2" applyNumberFormat="1" applyFont="1" applyBorder="1" applyAlignment="1">
      <alignment horizontal="center" vertical="center"/>
    </xf>
    <xf numFmtId="2" fontId="20" fillId="0" borderId="17" xfId="2" applyNumberFormat="1" applyFont="1" applyBorder="1" applyAlignment="1">
      <alignment vertical="center"/>
    </xf>
    <xf numFmtId="4" fontId="20" fillId="2" borderId="17" xfId="2" applyNumberFormat="1" applyFont="1" applyFill="1" applyBorder="1" applyAlignment="1">
      <alignment horizontal="center" vertical="center" wrapText="1"/>
    </xf>
    <xf numFmtId="167" fontId="20" fillId="0" borderId="17" xfId="2" applyNumberFormat="1" applyFont="1" applyBorder="1" applyAlignment="1">
      <alignment vertical="center"/>
    </xf>
    <xf numFmtId="3" fontId="20" fillId="0" borderId="17" xfId="2" applyNumberFormat="1" applyFont="1" applyBorder="1" applyAlignment="1">
      <alignment horizontal="center" vertical="center" wrapText="1"/>
    </xf>
    <xf numFmtId="0" fontId="20" fillId="0" borderId="64" xfId="2" applyFont="1" applyBorder="1" applyAlignment="1">
      <alignment horizontal="left" vertical="center" wrapText="1"/>
    </xf>
    <xf numFmtId="2" fontId="21" fillId="0" borderId="0" xfId="0" applyNumberFormat="1" applyFont="1"/>
    <xf numFmtId="2" fontId="20" fillId="0" borderId="17" xfId="2" applyNumberFormat="1" applyFont="1" applyBorder="1" applyAlignment="1">
      <alignment horizontal="left" vertical="center" wrapText="1"/>
    </xf>
    <xf numFmtId="4" fontId="24" fillId="2" borderId="17" xfId="2" applyNumberFormat="1" applyFont="1" applyFill="1" applyBorder="1" applyAlignment="1">
      <alignment horizontal="center" vertical="center" wrapText="1"/>
    </xf>
    <xf numFmtId="4" fontId="21" fillId="0" borderId="17" xfId="2" applyNumberFormat="1" applyFont="1" applyBorder="1" applyAlignment="1">
      <alignment horizontal="center" vertical="center" wrapText="1"/>
    </xf>
    <xf numFmtId="4" fontId="21" fillId="2" borderId="17" xfId="2" applyNumberFormat="1" applyFont="1" applyFill="1" applyBorder="1" applyAlignment="1">
      <alignment horizontal="center" vertical="center" wrapText="1"/>
    </xf>
    <xf numFmtId="3" fontId="21" fillId="0" borderId="17" xfId="2" applyNumberFormat="1" applyFont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 wrapText="1"/>
    </xf>
    <xf numFmtId="4" fontId="23" fillId="2" borderId="28" xfId="2" applyNumberFormat="1" applyFont="1" applyFill="1" applyBorder="1" applyAlignment="1">
      <alignment horizontal="center" vertical="center" wrapText="1"/>
    </xf>
    <xf numFmtId="0" fontId="22" fillId="0" borderId="0" xfId="2" applyFont="1" applyAlignment="1">
      <alignment horizontal="left" vertical="center" indent="2"/>
    </xf>
    <xf numFmtId="2" fontId="20" fillId="2" borderId="0" xfId="2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0" xfId="0" applyFont="1"/>
    <xf numFmtId="2" fontId="20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8" fillId="0" borderId="32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20" fillId="0" borderId="0" xfId="0" applyNumberFormat="1" applyFont="1" applyBorder="1" applyAlignment="1">
      <alignment horizontal="left" vertical="center" wrapText="1"/>
    </xf>
    <xf numFmtId="0" fontId="20" fillId="0" borderId="0" xfId="2" applyFont="1" applyAlignment="1">
      <alignment horizontal="center" wrapText="1"/>
    </xf>
    <xf numFmtId="0" fontId="20" fillId="0" borderId="0" xfId="2" applyFont="1" applyAlignment="1">
      <alignment horizontal="center"/>
    </xf>
    <xf numFmtId="0" fontId="27" fillId="0" borderId="0" xfId="2" applyFont="1" applyAlignment="1">
      <alignment horizontal="center" vertical="center"/>
    </xf>
    <xf numFmtId="0" fontId="20" fillId="0" borderId="1" xfId="2" applyFont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20" fillId="0" borderId="58" xfId="2" applyFont="1" applyBorder="1" applyAlignment="1">
      <alignment horizontal="center" vertical="center" wrapText="1"/>
    </xf>
    <xf numFmtId="0" fontId="20" fillId="0" borderId="59" xfId="2" applyFont="1" applyBorder="1" applyAlignment="1">
      <alignment horizontal="center" vertical="center" wrapText="1"/>
    </xf>
    <xf numFmtId="0" fontId="20" fillId="0" borderId="10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20" fillId="0" borderId="62" xfId="2" applyFont="1" applyBorder="1" applyAlignment="1">
      <alignment horizontal="center" vertical="center" wrapText="1"/>
    </xf>
    <xf numFmtId="0" fontId="20" fillId="0" borderId="25" xfId="2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0" xfId="0" applyFont="1"/>
    <xf numFmtId="0" fontId="21" fillId="0" borderId="0" xfId="0" applyFont="1"/>
    <xf numFmtId="0" fontId="20" fillId="0" borderId="65" xfId="2" applyFont="1" applyBorder="1" applyAlignment="1">
      <alignment horizontal="center" vertical="center" wrapText="1"/>
    </xf>
    <xf numFmtId="0" fontId="20" fillId="0" borderId="38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3" xfId="2" applyFont="1" applyBorder="1" applyAlignment="1">
      <alignment horizontal="center" vertical="center" wrapText="1"/>
    </xf>
    <xf numFmtId="0" fontId="20" fillId="0" borderId="4" xfId="2" applyFont="1" applyBorder="1" applyAlignment="1">
      <alignment horizontal="center" vertical="center" wrapText="1"/>
    </xf>
    <xf numFmtId="0" fontId="20" fillId="0" borderId="31" xfId="2" applyFont="1" applyBorder="1" applyAlignment="1">
      <alignment horizontal="center" vertical="center" wrapText="1"/>
    </xf>
    <xf numFmtId="0" fontId="20" fillId="0" borderId="60" xfId="2" applyFont="1" applyBorder="1" applyAlignment="1">
      <alignment horizontal="center" vertical="center" wrapText="1"/>
    </xf>
    <xf numFmtId="0" fontId="20" fillId="0" borderId="61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7"/>
  <sheetViews>
    <sheetView zoomScaleNormal="100" workbookViewId="0">
      <selection activeCell="O3" sqref="O3:R4"/>
    </sheetView>
  </sheetViews>
  <sheetFormatPr defaultRowHeight="14.3" x14ac:dyDescent="0.25"/>
  <cols>
    <col min="1" max="1" width="42.25" customWidth="1"/>
    <col min="2" max="2" width="12.125" customWidth="1"/>
    <col min="3" max="3" width="10.375" customWidth="1"/>
    <col min="5" max="5" width="12.25" customWidth="1"/>
    <col min="6" max="6" width="10" customWidth="1"/>
    <col min="7" max="7" width="10.375" customWidth="1"/>
    <col min="8" max="8" width="11.375" customWidth="1"/>
    <col min="9" max="9" width="11.125" customWidth="1"/>
    <col min="14" max="14" width="10" customWidth="1"/>
    <col min="15" max="15" width="9.75" customWidth="1"/>
    <col min="16" max="16" width="14.25" customWidth="1"/>
    <col min="17" max="17" width="10" bestFit="1" customWidth="1"/>
    <col min="18" max="18" width="11.25" customWidth="1"/>
  </cols>
  <sheetData>
    <row r="1" spans="1:24" s="3" customFormat="1" ht="31.95" x14ac:dyDescent="0.4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4" s="3" customFormat="1" ht="13.6" x14ac:dyDescent="0.2"/>
    <row r="3" spans="1:24" ht="18" customHeight="1" x14ac:dyDescent="0.3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79"/>
      <c r="M3" s="79"/>
      <c r="N3" s="79"/>
      <c r="O3" s="133" t="s">
        <v>105</v>
      </c>
      <c r="P3" s="133"/>
      <c r="Q3" s="133"/>
      <c r="R3" s="133"/>
      <c r="S3" s="80"/>
    </row>
    <row r="4" spans="1:24" ht="18" customHeigh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79"/>
      <c r="M4" s="79"/>
      <c r="N4" s="79"/>
      <c r="O4" s="175" t="s">
        <v>106</v>
      </c>
      <c r="P4" s="175"/>
      <c r="Q4" s="175"/>
      <c r="R4" s="175"/>
      <c r="S4" s="80"/>
    </row>
    <row r="5" spans="1:24" ht="18" customHeight="1" x14ac:dyDescent="0.3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79"/>
      <c r="M5" s="79"/>
      <c r="N5" s="79"/>
      <c r="O5" s="175" t="s">
        <v>66</v>
      </c>
      <c r="P5" s="175"/>
      <c r="Q5" s="175"/>
      <c r="R5" s="175"/>
      <c r="S5" s="80"/>
    </row>
    <row r="6" spans="1:24" ht="18" customHeight="1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79"/>
      <c r="M6" s="79"/>
      <c r="N6" s="79"/>
      <c r="O6" s="174" t="s">
        <v>91</v>
      </c>
      <c r="P6" s="174"/>
      <c r="Q6" s="174"/>
      <c r="R6" s="174"/>
      <c r="S6" s="80"/>
    </row>
    <row r="7" spans="1:24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</row>
    <row r="8" spans="1:24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</row>
    <row r="9" spans="1:24" ht="18.350000000000001" x14ac:dyDescent="0.3">
      <c r="A9" s="171" t="s">
        <v>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4" x14ac:dyDescent="0.2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24" ht="45" customHeight="1" x14ac:dyDescent="0.25">
      <c r="A11" s="172" t="s">
        <v>92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2" spans="1:24" ht="19.55" customHeight="1" thickBot="1" x14ac:dyDescent="0.3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</row>
    <row r="13" spans="1:24" ht="14.95" hidden="1" thickBot="1" x14ac:dyDescent="0.3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</row>
    <row r="14" spans="1:24" ht="102.75" customHeight="1" thickBot="1" x14ac:dyDescent="0.3">
      <c r="A14" s="184" t="s">
        <v>10</v>
      </c>
      <c r="B14" s="186" t="s">
        <v>12</v>
      </c>
      <c r="C14" s="187"/>
      <c r="D14" s="187"/>
      <c r="E14" s="187"/>
      <c r="F14" s="187"/>
      <c r="G14" s="192" t="s">
        <v>13</v>
      </c>
      <c r="H14" s="193"/>
      <c r="I14" s="193"/>
      <c r="J14" s="193"/>
      <c r="K14" s="193"/>
      <c r="L14" s="193"/>
      <c r="M14" s="193"/>
      <c r="N14" s="193"/>
      <c r="O14" s="194"/>
      <c r="P14" s="69" t="s">
        <v>1</v>
      </c>
      <c r="Q14" s="188" t="s">
        <v>2</v>
      </c>
      <c r="R14" s="176" t="s">
        <v>23</v>
      </c>
    </row>
    <row r="15" spans="1:24" ht="25.5" customHeight="1" x14ac:dyDescent="0.25">
      <c r="A15" s="185"/>
      <c r="B15" s="178" t="s">
        <v>32</v>
      </c>
      <c r="C15" s="178" t="s">
        <v>3</v>
      </c>
      <c r="D15" s="178" t="s">
        <v>4</v>
      </c>
      <c r="E15" s="180" t="s">
        <v>33</v>
      </c>
      <c r="F15" s="181"/>
      <c r="G15" s="182" t="s">
        <v>34</v>
      </c>
      <c r="H15" s="179" t="s">
        <v>11</v>
      </c>
      <c r="I15" s="179" t="s">
        <v>14</v>
      </c>
      <c r="J15" s="179" t="s">
        <v>15</v>
      </c>
      <c r="K15" s="182" t="s">
        <v>16</v>
      </c>
      <c r="L15" s="190" t="s">
        <v>17</v>
      </c>
      <c r="M15" s="195" t="s">
        <v>18</v>
      </c>
      <c r="N15" s="197" t="s">
        <v>35</v>
      </c>
      <c r="O15" s="198"/>
      <c r="P15" s="70" t="s">
        <v>19</v>
      </c>
      <c r="Q15" s="182"/>
      <c r="R15" s="177"/>
    </row>
    <row r="16" spans="1:24" ht="121.6" customHeight="1" thickBot="1" x14ac:dyDescent="0.3">
      <c r="A16" s="185"/>
      <c r="B16" s="179"/>
      <c r="C16" s="179"/>
      <c r="D16" s="179"/>
      <c r="E16" s="182"/>
      <c r="F16" s="183"/>
      <c r="G16" s="182"/>
      <c r="H16" s="179"/>
      <c r="I16" s="179"/>
      <c r="J16" s="179"/>
      <c r="K16" s="182"/>
      <c r="L16" s="191"/>
      <c r="M16" s="196"/>
      <c r="N16" s="199"/>
      <c r="O16" s="200"/>
      <c r="P16" s="5"/>
      <c r="Q16" s="189"/>
      <c r="R16" s="177"/>
    </row>
    <row r="17" spans="1:20" ht="36.700000000000003" customHeight="1" thickBot="1" x14ac:dyDescent="0.3">
      <c r="A17" s="85"/>
      <c r="B17" s="7" t="s">
        <v>7</v>
      </c>
      <c r="C17" s="7" t="s">
        <v>7</v>
      </c>
      <c r="D17" s="7" t="s">
        <v>7</v>
      </c>
      <c r="E17" s="7" t="s">
        <v>7</v>
      </c>
      <c r="F17" s="8" t="s">
        <v>27</v>
      </c>
      <c r="G17" s="7" t="s">
        <v>7</v>
      </c>
      <c r="H17" s="7" t="s">
        <v>7</v>
      </c>
      <c r="I17" s="7" t="s">
        <v>7</v>
      </c>
      <c r="J17" s="7" t="s">
        <v>7</v>
      </c>
      <c r="K17" s="7" t="s">
        <v>7</v>
      </c>
      <c r="L17" s="7" t="s">
        <v>7</v>
      </c>
      <c r="M17" s="7" t="s">
        <v>7</v>
      </c>
      <c r="N17" s="7" t="s">
        <v>7</v>
      </c>
      <c r="O17" s="8" t="s">
        <v>28</v>
      </c>
      <c r="P17" s="9" t="s">
        <v>7</v>
      </c>
      <c r="Q17" s="10" t="s">
        <v>26</v>
      </c>
      <c r="R17" s="8" t="s">
        <v>25</v>
      </c>
    </row>
    <row r="18" spans="1:20" ht="19.55" customHeight="1" thickBot="1" x14ac:dyDescent="0.3">
      <c r="A18" s="90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2">
        <v>17</v>
      </c>
      <c r="R18" s="13">
        <v>18</v>
      </c>
    </row>
    <row r="19" spans="1:20" ht="16.5" customHeight="1" thickBot="1" x14ac:dyDescent="0.3">
      <c r="A19" s="113" t="s">
        <v>5</v>
      </c>
      <c r="B19" s="114"/>
      <c r="C19" s="114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  <c r="R19" s="117"/>
    </row>
    <row r="20" spans="1:20" ht="51.65" x14ac:dyDescent="0.25">
      <c r="A20" s="118" t="s">
        <v>41</v>
      </c>
      <c r="B20" s="119">
        <v>32182.022975240001</v>
      </c>
      <c r="C20" s="119">
        <v>1760.8811200999999</v>
      </c>
      <c r="D20" s="119">
        <v>0</v>
      </c>
      <c r="E20" s="120">
        <v>33942.904095340004</v>
      </c>
      <c r="F20" s="121">
        <v>72.838849990000014</v>
      </c>
      <c r="G20" s="119">
        <v>11947.275510479996</v>
      </c>
      <c r="H20" s="122">
        <v>1867.745737230638</v>
      </c>
      <c r="I20" s="122">
        <v>292.80349903989759</v>
      </c>
      <c r="J20" s="122">
        <v>41.94</v>
      </c>
      <c r="K20" s="122">
        <v>90.21759999999999</v>
      </c>
      <c r="L20" s="122">
        <v>0</v>
      </c>
      <c r="M20" s="122">
        <v>1050.7009445213355</v>
      </c>
      <c r="N20" s="122">
        <v>15290.683291271867</v>
      </c>
      <c r="O20" s="123">
        <v>32.812625088566236</v>
      </c>
      <c r="P20" s="122">
        <v>49233.587386611871</v>
      </c>
      <c r="Q20" s="122">
        <v>466</v>
      </c>
      <c r="R20" s="122">
        <v>105.65147507856625</v>
      </c>
      <c r="S20" s="1"/>
      <c r="T20" s="1"/>
    </row>
    <row r="21" spans="1:20" ht="51.65" x14ac:dyDescent="0.25">
      <c r="A21" s="124" t="s">
        <v>42</v>
      </c>
      <c r="B21" s="119">
        <v>1312.1425676599999</v>
      </c>
      <c r="C21" s="119">
        <v>71.795582150000001</v>
      </c>
      <c r="D21" s="119">
        <v>0</v>
      </c>
      <c r="E21" s="120">
        <v>1383.9381498099999</v>
      </c>
      <c r="F21" s="121">
        <v>72.83884999</v>
      </c>
      <c r="G21" s="119">
        <v>487.12067531999986</v>
      </c>
      <c r="H21" s="122">
        <v>76.152723191807141</v>
      </c>
      <c r="I21" s="122">
        <v>11.938340089609557</v>
      </c>
      <c r="J21" s="122">
        <v>1.71</v>
      </c>
      <c r="K21" s="122">
        <v>3.6783999999999999</v>
      </c>
      <c r="L21" s="122">
        <v>0</v>
      </c>
      <c r="M21" s="122">
        <v>42.839738081342013</v>
      </c>
      <c r="N21" s="122">
        <v>623.43987668275872</v>
      </c>
      <c r="O21" s="123">
        <v>32.81262508856625</v>
      </c>
      <c r="P21" s="122">
        <v>2007.3780264927586</v>
      </c>
      <c r="Q21" s="122">
        <v>19</v>
      </c>
      <c r="R21" s="122">
        <v>105.65147507856625</v>
      </c>
      <c r="S21" s="1"/>
      <c r="T21" s="1"/>
    </row>
    <row r="22" spans="1:20" ht="51.8" customHeight="1" x14ac:dyDescent="0.25">
      <c r="A22" s="124" t="s">
        <v>43</v>
      </c>
      <c r="B22" s="119">
        <v>29695.858110199999</v>
      </c>
      <c r="C22" s="119">
        <v>1624.8473854999997</v>
      </c>
      <c r="D22" s="119">
        <v>0</v>
      </c>
      <c r="E22" s="120">
        <v>31320.7054957</v>
      </c>
      <c r="F22" s="121">
        <v>72.83884999</v>
      </c>
      <c r="G22" s="119">
        <v>11024.310020399997</v>
      </c>
      <c r="H22" s="122">
        <v>1513.9643891618418</v>
      </c>
      <c r="I22" s="122">
        <v>237.34176538701342</v>
      </c>
      <c r="J22" s="122">
        <v>38.700000000000003</v>
      </c>
      <c r="K22" s="122">
        <v>83.248000000000005</v>
      </c>
      <c r="L22" s="122">
        <v>0</v>
      </c>
      <c r="M22" s="122">
        <v>942.67486209873516</v>
      </c>
      <c r="N22" s="122">
        <v>13840.239037047586</v>
      </c>
      <c r="O22" s="123">
        <v>32.186602411738569</v>
      </c>
      <c r="P22" s="122">
        <v>45160.944532747584</v>
      </c>
      <c r="Q22" s="122">
        <v>430</v>
      </c>
      <c r="R22" s="122">
        <v>105.02545240173856</v>
      </c>
      <c r="S22" s="1"/>
      <c r="T22" s="1"/>
    </row>
    <row r="23" spans="1:20" ht="68.3" customHeight="1" x14ac:dyDescent="0.25">
      <c r="A23" s="124" t="s">
        <v>104</v>
      </c>
      <c r="B23" s="119">
        <v>690.6013514</v>
      </c>
      <c r="C23" s="119">
        <v>37.787148499999994</v>
      </c>
      <c r="D23" s="119">
        <v>0</v>
      </c>
      <c r="E23" s="120">
        <v>728.38849989999994</v>
      </c>
      <c r="F23" s="121">
        <v>72.83884999</v>
      </c>
      <c r="G23" s="119">
        <v>256.37930279999995</v>
      </c>
      <c r="H23" s="122">
        <v>35.208474166554467</v>
      </c>
      <c r="I23" s="122">
        <v>5.5195759392328707</v>
      </c>
      <c r="J23" s="122">
        <v>0.9</v>
      </c>
      <c r="K23" s="122">
        <v>1.9359999999999999</v>
      </c>
      <c r="L23" s="122">
        <v>0</v>
      </c>
      <c r="M23" s="122">
        <v>21.922671211598491</v>
      </c>
      <c r="N23" s="122">
        <v>321.86602411738573</v>
      </c>
      <c r="O23" s="123">
        <v>32.186602411738576</v>
      </c>
      <c r="P23" s="122">
        <v>1050.2545240173856</v>
      </c>
      <c r="Q23" s="122">
        <v>10</v>
      </c>
      <c r="R23" s="122">
        <v>105.02545240173856</v>
      </c>
      <c r="S23" s="1"/>
      <c r="T23" s="1"/>
    </row>
    <row r="24" spans="1:20" ht="58.6" customHeight="1" x14ac:dyDescent="0.25">
      <c r="A24" s="125" t="s">
        <v>44</v>
      </c>
      <c r="B24" s="119">
        <v>5179.5101354999997</v>
      </c>
      <c r="C24" s="119">
        <v>283.40361374999998</v>
      </c>
      <c r="D24" s="119">
        <v>0</v>
      </c>
      <c r="E24" s="120">
        <v>5462.9137492499995</v>
      </c>
      <c r="F24" s="121">
        <v>72.838849989999986</v>
      </c>
      <c r="G24" s="119">
        <v>1922.8447709999996</v>
      </c>
      <c r="H24" s="122">
        <v>264.06355624915852</v>
      </c>
      <c r="I24" s="122">
        <v>41.396819544246526</v>
      </c>
      <c r="J24" s="122">
        <v>6.75</v>
      </c>
      <c r="K24" s="122">
        <v>14.52</v>
      </c>
      <c r="L24" s="122">
        <v>0</v>
      </c>
      <c r="M24" s="122">
        <v>164.42003408698872</v>
      </c>
      <c r="N24" s="122">
        <v>2413.9951808803935</v>
      </c>
      <c r="O24" s="123">
        <v>32.186602411738583</v>
      </c>
      <c r="P24" s="122">
        <v>7876.9089301303929</v>
      </c>
      <c r="Q24" s="122">
        <v>75</v>
      </c>
      <c r="R24" s="122">
        <v>105.02545240173858</v>
      </c>
      <c r="S24" s="1"/>
      <c r="T24" s="1"/>
    </row>
    <row r="25" spans="1:20" ht="25.85" x14ac:dyDescent="0.25">
      <c r="A25" s="125" t="s">
        <v>45</v>
      </c>
      <c r="B25" s="126">
        <v>2923.3628218499998</v>
      </c>
      <c r="C25" s="126">
        <v>1930.90517815</v>
      </c>
      <c r="D25" s="119">
        <v>0</v>
      </c>
      <c r="E25" s="120">
        <v>4854.268</v>
      </c>
      <c r="F25" s="121">
        <v>10.008800000000001</v>
      </c>
      <c r="G25" s="126">
        <v>0</v>
      </c>
      <c r="H25" s="127">
        <v>0</v>
      </c>
      <c r="I25" s="127">
        <v>0</v>
      </c>
      <c r="J25" s="127">
        <v>0</v>
      </c>
      <c r="K25" s="127">
        <v>0</v>
      </c>
      <c r="L25" s="122">
        <v>0</v>
      </c>
      <c r="M25" s="127">
        <v>0</v>
      </c>
      <c r="N25" s="122">
        <v>0</v>
      </c>
      <c r="O25" s="123">
        <v>0</v>
      </c>
      <c r="P25" s="122">
        <v>4854.268</v>
      </c>
      <c r="Q25" s="127">
        <v>485</v>
      </c>
      <c r="R25" s="122">
        <v>10.008800000000001</v>
      </c>
      <c r="S25" s="1"/>
      <c r="T25" s="1"/>
    </row>
    <row r="26" spans="1:20" ht="25.85" x14ac:dyDescent="0.25">
      <c r="A26" s="125" t="s">
        <v>46</v>
      </c>
      <c r="B26" s="126">
        <v>2652.1229724</v>
      </c>
      <c r="C26" s="126">
        <v>1751.7490275999999</v>
      </c>
      <c r="D26" s="119">
        <v>0</v>
      </c>
      <c r="E26" s="120">
        <v>4403.8719999999994</v>
      </c>
      <c r="F26" s="121">
        <v>10.008799999999999</v>
      </c>
      <c r="G26" s="126">
        <v>0</v>
      </c>
      <c r="H26" s="127">
        <v>0</v>
      </c>
      <c r="I26" s="127">
        <v>0</v>
      </c>
      <c r="J26" s="127">
        <v>0</v>
      </c>
      <c r="K26" s="127">
        <v>0</v>
      </c>
      <c r="L26" s="122">
        <v>0</v>
      </c>
      <c r="M26" s="127">
        <v>0</v>
      </c>
      <c r="N26" s="122">
        <v>0</v>
      </c>
      <c r="O26" s="123">
        <v>0</v>
      </c>
      <c r="P26" s="122">
        <v>4403.8719999999994</v>
      </c>
      <c r="Q26" s="127">
        <v>440</v>
      </c>
      <c r="R26" s="122">
        <v>10.008799999999999</v>
      </c>
      <c r="S26" s="1"/>
      <c r="T26" s="1"/>
    </row>
    <row r="27" spans="1:20" ht="25.85" x14ac:dyDescent="0.25">
      <c r="A27" s="125" t="s">
        <v>47</v>
      </c>
      <c r="B27" s="126">
        <v>452.06641574999998</v>
      </c>
      <c r="C27" s="126">
        <v>298.59358424999994</v>
      </c>
      <c r="D27" s="119">
        <v>0</v>
      </c>
      <c r="E27" s="120">
        <v>750.65999999999985</v>
      </c>
      <c r="F27" s="121">
        <v>10.008799999999997</v>
      </c>
      <c r="G27" s="126">
        <v>0</v>
      </c>
      <c r="H27" s="127">
        <v>0</v>
      </c>
      <c r="I27" s="127">
        <v>0</v>
      </c>
      <c r="J27" s="127">
        <v>0</v>
      </c>
      <c r="K27" s="127">
        <v>0</v>
      </c>
      <c r="L27" s="122">
        <v>0</v>
      </c>
      <c r="M27" s="127">
        <v>0</v>
      </c>
      <c r="N27" s="122">
        <v>0</v>
      </c>
      <c r="O27" s="123">
        <v>0</v>
      </c>
      <c r="P27" s="122">
        <v>750.65999999999985</v>
      </c>
      <c r="Q27" s="127">
        <v>75</v>
      </c>
      <c r="R27" s="122">
        <v>10.008799999999997</v>
      </c>
      <c r="S27" s="1"/>
      <c r="T27" s="1"/>
    </row>
    <row r="28" spans="1:20" ht="25.85" x14ac:dyDescent="0.25">
      <c r="A28" s="125" t="s">
        <v>48</v>
      </c>
      <c r="B28" s="119">
        <v>0</v>
      </c>
      <c r="C28" s="119">
        <v>803.19092999999998</v>
      </c>
      <c r="D28" s="119">
        <v>0</v>
      </c>
      <c r="E28" s="120">
        <v>803.19092999999998</v>
      </c>
      <c r="F28" s="121">
        <v>3.5697374666666666</v>
      </c>
      <c r="G28" s="126">
        <v>0</v>
      </c>
      <c r="H28" s="122">
        <v>0</v>
      </c>
      <c r="I28" s="122">
        <v>0</v>
      </c>
      <c r="J28" s="127">
        <v>0</v>
      </c>
      <c r="K28" s="127">
        <v>0</v>
      </c>
      <c r="L28" s="122">
        <v>0</v>
      </c>
      <c r="M28" s="122">
        <v>158.77126999999999</v>
      </c>
      <c r="N28" s="122">
        <v>158.77126999999999</v>
      </c>
      <c r="O28" s="123">
        <v>0.7056500888888888</v>
      </c>
      <c r="P28" s="122">
        <v>961.96219999999994</v>
      </c>
      <c r="Q28" s="122">
        <v>225</v>
      </c>
      <c r="R28" s="122">
        <v>4.2753875555555556</v>
      </c>
      <c r="S28" s="1"/>
      <c r="T28" s="1"/>
    </row>
    <row r="29" spans="1:20" ht="26.5" thickBot="1" x14ac:dyDescent="0.3">
      <c r="A29" s="128" t="s">
        <v>49</v>
      </c>
      <c r="B29" s="119">
        <v>0</v>
      </c>
      <c r="C29" s="119">
        <v>0</v>
      </c>
      <c r="D29" s="119">
        <v>0</v>
      </c>
      <c r="E29" s="120">
        <v>0</v>
      </c>
      <c r="F29" s="121">
        <v>0</v>
      </c>
      <c r="G29" s="126">
        <v>0</v>
      </c>
      <c r="H29" s="122">
        <v>0</v>
      </c>
      <c r="I29" s="122">
        <v>0</v>
      </c>
      <c r="J29" s="127">
        <v>0</v>
      </c>
      <c r="K29" s="127">
        <v>0</v>
      </c>
      <c r="L29" s="122">
        <v>0</v>
      </c>
      <c r="M29" s="122">
        <v>243.03639999999999</v>
      </c>
      <c r="N29" s="122">
        <v>243.03639999999999</v>
      </c>
      <c r="O29" s="123">
        <v>12.151819999999999</v>
      </c>
      <c r="P29" s="122">
        <v>243.03639999999999</v>
      </c>
      <c r="Q29" s="122">
        <v>20</v>
      </c>
      <c r="R29" s="122">
        <v>12.151819999999999</v>
      </c>
      <c r="S29" s="1"/>
      <c r="T29" s="1"/>
    </row>
    <row r="30" spans="1:20" ht="14.95" thickBot="1" x14ac:dyDescent="0.3">
      <c r="A30" s="81" t="s">
        <v>6</v>
      </c>
      <c r="B30" s="129">
        <f>SUM(B20:B29)</f>
        <v>75087.687349999993</v>
      </c>
      <c r="C30" s="130">
        <f>SUM(C20:C29)</f>
        <v>8563.1535700000004</v>
      </c>
      <c r="D30" s="130">
        <f>SUM(D20:D29)</f>
        <v>0</v>
      </c>
      <c r="E30" s="130">
        <f>SUM(E20:E29)</f>
        <v>83650.840920000002</v>
      </c>
      <c r="F30" s="130" t="s">
        <v>20</v>
      </c>
      <c r="G30" s="130">
        <f>SUM(G20:G29)</f>
        <v>25637.930279999993</v>
      </c>
      <c r="H30" s="130">
        <f t="shared" ref="H30:N30" si="0">SUM(H20:H29)</f>
        <v>3757.1348799999996</v>
      </c>
      <c r="I30" s="130">
        <f t="shared" si="0"/>
        <v>589</v>
      </c>
      <c r="J30" s="130">
        <f t="shared" si="0"/>
        <v>90</v>
      </c>
      <c r="K30" s="130">
        <f t="shared" si="0"/>
        <v>193.60000000000002</v>
      </c>
      <c r="L30" s="130">
        <f t="shared" si="0"/>
        <v>0</v>
      </c>
      <c r="M30" s="130">
        <f t="shared" si="0"/>
        <v>2624.3659199999997</v>
      </c>
      <c r="N30" s="130">
        <f t="shared" si="0"/>
        <v>32892.031079999986</v>
      </c>
      <c r="O30" s="130" t="s">
        <v>20</v>
      </c>
      <c r="P30" s="130">
        <f>SUM(P20:P29)</f>
        <v>116542.87199999997</v>
      </c>
      <c r="Q30" s="131" t="s">
        <v>20</v>
      </c>
      <c r="R30" s="132" t="s">
        <v>20</v>
      </c>
    </row>
    <row r="31" spans="1:20" x14ac:dyDescent="0.25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</row>
    <row r="32" spans="1:20" ht="14.95" x14ac:dyDescent="0.25">
      <c r="A32" s="28" t="s">
        <v>68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</row>
    <row r="33" spans="1:18" ht="14.95" x14ac:dyDescent="0.25">
      <c r="A33" s="28" t="s">
        <v>69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</row>
    <row r="34" spans="1:18" ht="14.95" x14ac:dyDescent="0.25">
      <c r="A34" s="28" t="s">
        <v>70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</row>
    <row r="35" spans="1:18" ht="14.95" x14ac:dyDescent="0.25">
      <c r="A35" s="28" t="s">
        <v>71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</row>
    <row r="36" spans="1:18" ht="14.95" x14ac:dyDescent="0.25">
      <c r="A36" s="28" t="s">
        <v>72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</row>
    <row r="37" spans="1:18" ht="14.95" x14ac:dyDescent="0.25">
      <c r="A37" s="28" t="s">
        <v>73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</row>
  </sheetData>
  <mergeCells count="23">
    <mergeCell ref="A14:A16"/>
    <mergeCell ref="B14:F14"/>
    <mergeCell ref="Q14:Q16"/>
    <mergeCell ref="L15:L16"/>
    <mergeCell ref="G14:O14"/>
    <mergeCell ref="M15:M16"/>
    <mergeCell ref="N15:O16"/>
    <mergeCell ref="R14:R16"/>
    <mergeCell ref="B15:B16"/>
    <mergeCell ref="C15:C16"/>
    <mergeCell ref="D15:D16"/>
    <mergeCell ref="E15:F16"/>
    <mergeCell ref="I15:I16"/>
    <mergeCell ref="J15:J16"/>
    <mergeCell ref="K15:K16"/>
    <mergeCell ref="H15:H16"/>
    <mergeCell ref="G15:G16"/>
    <mergeCell ref="A1:X1"/>
    <mergeCell ref="A9:R9"/>
    <mergeCell ref="A11:R11"/>
    <mergeCell ref="O6:R6"/>
    <mergeCell ref="O5:R5"/>
    <mergeCell ref="O4:R4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zoomScale="86" zoomScaleNormal="86" workbookViewId="0">
      <selection activeCell="O3" sqref="O3:R4"/>
    </sheetView>
  </sheetViews>
  <sheetFormatPr defaultColWidth="9.125" defaultRowHeight="13.6" x14ac:dyDescent="0.2"/>
  <cols>
    <col min="1" max="1" width="38" style="3" customWidth="1"/>
    <col min="2" max="2" width="11.25" style="3" customWidth="1"/>
    <col min="3" max="3" width="9.875" style="3" customWidth="1"/>
    <col min="4" max="4" width="9.125" style="3"/>
    <col min="5" max="5" width="12" style="3" customWidth="1"/>
    <col min="6" max="6" width="10.875" style="3" customWidth="1"/>
    <col min="7" max="7" width="10.625" style="3" customWidth="1"/>
    <col min="8" max="13" width="9.125" style="3"/>
    <col min="14" max="14" width="11.25" style="3" customWidth="1"/>
    <col min="15" max="15" width="11.375" style="3" customWidth="1"/>
    <col min="16" max="16" width="14.375" style="3" customWidth="1"/>
    <col min="17" max="17" width="10.625" style="3" customWidth="1"/>
    <col min="18" max="16384" width="9.125" style="3"/>
  </cols>
  <sheetData>
    <row r="1" spans="1:24" ht="31.95" x14ac:dyDescent="0.4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55"/>
      <c r="X1" s="55"/>
    </row>
    <row r="3" spans="1:24" ht="18" customHeight="1" x14ac:dyDescent="0.3">
      <c r="K3" s="77"/>
      <c r="L3" s="77"/>
      <c r="M3" s="77"/>
      <c r="N3" s="77"/>
      <c r="O3" s="135" t="s">
        <v>105</v>
      </c>
      <c r="P3" s="135"/>
      <c r="Q3" s="135"/>
      <c r="R3" s="135"/>
    </row>
    <row r="4" spans="1:24" ht="18" customHeight="1" x14ac:dyDescent="0.3">
      <c r="K4" s="77"/>
      <c r="L4" s="77"/>
      <c r="M4" s="77"/>
      <c r="N4" s="77"/>
      <c r="O4" s="175" t="s">
        <v>106</v>
      </c>
      <c r="P4" s="175"/>
      <c r="Q4" s="175"/>
      <c r="R4" s="175"/>
    </row>
    <row r="5" spans="1:24" ht="18" customHeight="1" x14ac:dyDescent="0.3">
      <c r="K5" s="79"/>
      <c r="L5" s="79"/>
      <c r="M5" s="79"/>
      <c r="N5" s="77"/>
      <c r="O5" s="175" t="s">
        <v>66</v>
      </c>
      <c r="P5" s="175"/>
      <c r="Q5" s="175"/>
      <c r="R5" s="175"/>
    </row>
    <row r="6" spans="1:24" ht="18" customHeight="1" x14ac:dyDescent="0.3">
      <c r="K6" s="78"/>
      <c r="L6" s="78"/>
      <c r="M6" s="78"/>
      <c r="N6" s="77"/>
      <c r="O6" s="174" t="s">
        <v>91</v>
      </c>
      <c r="P6" s="174"/>
      <c r="Q6" s="174"/>
      <c r="R6" s="174"/>
    </row>
    <row r="9" spans="1:24" ht="18.350000000000001" x14ac:dyDescent="0.3">
      <c r="A9" s="171" t="s">
        <v>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4" ht="15.6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5.35" customHeight="1" x14ac:dyDescent="0.2">
      <c r="A11" s="173" t="s">
        <v>93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24" ht="14.3" thickBot="1" x14ac:dyDescent="0.25"/>
    <row r="14" spans="1:24" ht="68.3" customHeight="1" thickBot="1" x14ac:dyDescent="0.25">
      <c r="A14" s="201" t="s">
        <v>0</v>
      </c>
      <c r="B14" s="186" t="s">
        <v>12</v>
      </c>
      <c r="C14" s="187"/>
      <c r="D14" s="187"/>
      <c r="E14" s="187"/>
      <c r="F14" s="187"/>
      <c r="G14" s="192" t="s">
        <v>13</v>
      </c>
      <c r="H14" s="193"/>
      <c r="I14" s="193"/>
      <c r="J14" s="193"/>
      <c r="K14" s="193"/>
      <c r="L14" s="193"/>
      <c r="M14" s="193"/>
      <c r="N14" s="193"/>
      <c r="O14" s="194"/>
      <c r="P14" s="69" t="s">
        <v>1</v>
      </c>
      <c r="Q14" s="188" t="s">
        <v>2</v>
      </c>
      <c r="R14" s="176" t="s">
        <v>31</v>
      </c>
    </row>
    <row r="15" spans="1:24" ht="22.6" customHeight="1" x14ac:dyDescent="0.2">
      <c r="A15" s="202"/>
      <c r="B15" s="178" t="s">
        <v>32</v>
      </c>
      <c r="C15" s="178" t="s">
        <v>3</v>
      </c>
      <c r="D15" s="178" t="s">
        <v>4</v>
      </c>
      <c r="E15" s="180" t="s">
        <v>33</v>
      </c>
      <c r="F15" s="181"/>
      <c r="G15" s="182" t="s">
        <v>34</v>
      </c>
      <c r="H15" s="179" t="s">
        <v>11</v>
      </c>
      <c r="I15" s="179" t="s">
        <v>14</v>
      </c>
      <c r="J15" s="179" t="s">
        <v>15</v>
      </c>
      <c r="K15" s="182" t="s">
        <v>16</v>
      </c>
      <c r="L15" s="190" t="s">
        <v>17</v>
      </c>
      <c r="M15" s="195" t="s">
        <v>18</v>
      </c>
      <c r="N15" s="197" t="s">
        <v>35</v>
      </c>
      <c r="O15" s="198"/>
      <c r="P15" s="70" t="s">
        <v>19</v>
      </c>
      <c r="Q15" s="182"/>
      <c r="R15" s="177"/>
    </row>
    <row r="16" spans="1:24" ht="68.3" customHeight="1" thickBot="1" x14ac:dyDescent="0.25">
      <c r="A16" s="202"/>
      <c r="B16" s="179"/>
      <c r="C16" s="179"/>
      <c r="D16" s="179"/>
      <c r="E16" s="182"/>
      <c r="F16" s="183"/>
      <c r="G16" s="182"/>
      <c r="H16" s="179"/>
      <c r="I16" s="179"/>
      <c r="J16" s="179"/>
      <c r="K16" s="182"/>
      <c r="L16" s="191"/>
      <c r="M16" s="196"/>
      <c r="N16" s="199"/>
      <c r="O16" s="200"/>
      <c r="P16" s="5"/>
      <c r="Q16" s="189"/>
      <c r="R16" s="177"/>
    </row>
    <row r="17" spans="1:20" ht="38.25" customHeight="1" thickBot="1" x14ac:dyDescent="0.25">
      <c r="A17" s="6"/>
      <c r="B17" s="7" t="s">
        <v>7</v>
      </c>
      <c r="C17" s="7" t="s">
        <v>7</v>
      </c>
      <c r="D17" s="7" t="s">
        <v>7</v>
      </c>
      <c r="E17" s="7" t="s">
        <v>7</v>
      </c>
      <c r="F17" s="8" t="s">
        <v>29</v>
      </c>
      <c r="G17" s="7" t="s">
        <v>7</v>
      </c>
      <c r="H17" s="7" t="s">
        <v>7</v>
      </c>
      <c r="I17" s="7" t="s">
        <v>7</v>
      </c>
      <c r="J17" s="7" t="s">
        <v>7</v>
      </c>
      <c r="K17" s="7" t="s">
        <v>7</v>
      </c>
      <c r="L17" s="7" t="s">
        <v>7</v>
      </c>
      <c r="M17" s="7" t="s">
        <v>7</v>
      </c>
      <c r="N17" s="7" t="s">
        <v>7</v>
      </c>
      <c r="O17" s="8" t="s">
        <v>30</v>
      </c>
      <c r="P17" s="9" t="s">
        <v>7</v>
      </c>
      <c r="Q17" s="10" t="s">
        <v>26</v>
      </c>
      <c r="R17" s="8" t="s">
        <v>25</v>
      </c>
    </row>
    <row r="18" spans="1:20" ht="19.55" customHeight="1" thickBot="1" x14ac:dyDescent="0.25">
      <c r="A18" s="11">
        <v>1</v>
      </c>
      <c r="B18" s="11">
        <v>2</v>
      </c>
      <c r="C18" s="11">
        <v>3</v>
      </c>
      <c r="D18" s="11">
        <v>4</v>
      </c>
      <c r="E18" s="11">
        <v>5</v>
      </c>
      <c r="F18" s="11">
        <v>6</v>
      </c>
      <c r="G18" s="11">
        <v>7</v>
      </c>
      <c r="H18" s="11">
        <v>8</v>
      </c>
      <c r="I18" s="11">
        <v>9</v>
      </c>
      <c r="J18" s="11">
        <v>10</v>
      </c>
      <c r="K18" s="11">
        <v>11</v>
      </c>
      <c r="L18" s="11">
        <v>12</v>
      </c>
      <c r="M18" s="11">
        <v>13</v>
      </c>
      <c r="N18" s="11">
        <v>14</v>
      </c>
      <c r="O18" s="11">
        <v>15</v>
      </c>
      <c r="P18" s="11">
        <v>16</v>
      </c>
      <c r="Q18" s="12">
        <v>17</v>
      </c>
      <c r="R18" s="13">
        <v>18</v>
      </c>
    </row>
    <row r="19" spans="1:20" x14ac:dyDescent="0.2">
      <c r="A19" s="14" t="s">
        <v>5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/>
      <c r="R19" s="18"/>
    </row>
    <row r="20" spans="1:20" s="44" customFormat="1" ht="46.2" x14ac:dyDescent="0.2">
      <c r="A20" s="36" t="s">
        <v>50</v>
      </c>
      <c r="B20" s="37">
        <v>6905.15</v>
      </c>
      <c r="C20" s="37">
        <v>81.28</v>
      </c>
      <c r="D20" s="38">
        <v>14.31</v>
      </c>
      <c r="E20" s="39">
        <f>SUM(B20:D20)</f>
        <v>7000.74</v>
      </c>
      <c r="F20" s="39">
        <v>100.01</v>
      </c>
      <c r="G20" s="40">
        <v>1978.37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f>SUM(G20:M20)</f>
        <v>1978.37</v>
      </c>
      <c r="O20" s="40">
        <f>N20/Q20</f>
        <v>28.262428571428568</v>
      </c>
      <c r="P20" s="39">
        <f>E20+N20</f>
        <v>8979.11</v>
      </c>
      <c r="Q20" s="41">
        <v>70</v>
      </c>
      <c r="R20" s="42">
        <f>P20/Q20</f>
        <v>128.273</v>
      </c>
      <c r="S20" s="43"/>
      <c r="T20" s="43"/>
    </row>
    <row r="21" spans="1:20" s="44" customFormat="1" ht="52.5" customHeight="1" x14ac:dyDescent="0.2">
      <c r="A21" s="36" t="s">
        <v>51</v>
      </c>
      <c r="B21" s="37">
        <v>22293.759999999998</v>
      </c>
      <c r="C21" s="37">
        <v>262.42</v>
      </c>
      <c r="D21" s="38">
        <v>46.19</v>
      </c>
      <c r="E21" s="39">
        <f>SUM(B21:D21)-0.01</f>
        <v>22602.359999999997</v>
      </c>
      <c r="F21" s="39">
        <v>100.01</v>
      </c>
      <c r="G21" s="40">
        <v>6387.31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f>SUM(G21:M21)</f>
        <v>6387.31</v>
      </c>
      <c r="O21" s="40">
        <f t="shared" ref="O21:O24" si="0">N21/Q21</f>
        <v>28.262433628318586</v>
      </c>
      <c r="P21" s="39">
        <f>E21+N21</f>
        <v>28989.67</v>
      </c>
      <c r="Q21" s="41">
        <v>226</v>
      </c>
      <c r="R21" s="42">
        <f t="shared" ref="R21:R24" si="1">P21/Q21</f>
        <v>128.27287610619467</v>
      </c>
      <c r="S21" s="43"/>
      <c r="T21" s="43"/>
    </row>
    <row r="22" spans="1:20" s="44" customFormat="1" ht="57.75" x14ac:dyDescent="0.2">
      <c r="A22" s="36" t="s">
        <v>52</v>
      </c>
      <c r="B22" s="37">
        <v>2367.48</v>
      </c>
      <c r="C22" s="37">
        <v>27.87</v>
      </c>
      <c r="D22" s="38">
        <v>4.91</v>
      </c>
      <c r="E22" s="39">
        <f>SUM(B22:D22)-0.01</f>
        <v>2400.2499999999995</v>
      </c>
      <c r="F22" s="39">
        <v>100.01</v>
      </c>
      <c r="G22" s="40">
        <v>678.3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f t="shared" ref="N22:N24" si="2">SUM(G22:M22)</f>
        <v>678.3</v>
      </c>
      <c r="O22" s="40">
        <f t="shared" si="0"/>
        <v>28.262499999999999</v>
      </c>
      <c r="P22" s="39">
        <f>E22+N22</f>
        <v>3078.5499999999993</v>
      </c>
      <c r="Q22" s="41">
        <v>24</v>
      </c>
      <c r="R22" s="42">
        <f t="shared" si="1"/>
        <v>128.27291666666665</v>
      </c>
    </row>
    <row r="23" spans="1:20" s="44" customFormat="1" ht="34.65" x14ac:dyDescent="0.2">
      <c r="A23" s="45" t="s">
        <v>53</v>
      </c>
      <c r="B23" s="38">
        <v>0</v>
      </c>
      <c r="C23" s="37">
        <v>27.03</v>
      </c>
      <c r="D23" s="38">
        <v>0</v>
      </c>
      <c r="E23" s="39">
        <f t="shared" ref="E23" si="3">SUM(B23:D23)</f>
        <v>27.03</v>
      </c>
      <c r="F23" s="39">
        <v>0.39</v>
      </c>
      <c r="G23" s="40">
        <v>2357.48</v>
      </c>
      <c r="H23" s="40">
        <v>481.7</v>
      </c>
      <c r="I23" s="46">
        <v>65.63</v>
      </c>
      <c r="J23" s="40">
        <v>134.87</v>
      </c>
      <c r="K23" s="40">
        <v>31.84</v>
      </c>
      <c r="L23" s="46">
        <v>0</v>
      </c>
      <c r="M23" s="40">
        <v>128.68</v>
      </c>
      <c r="N23" s="40">
        <f>SUM(G23:M23)</f>
        <v>3200.2</v>
      </c>
      <c r="O23" s="40">
        <f t="shared" si="0"/>
        <v>45.717142857142854</v>
      </c>
      <c r="P23" s="39">
        <f>E23+N23</f>
        <v>3227.23</v>
      </c>
      <c r="Q23" s="47">
        <v>70</v>
      </c>
      <c r="R23" s="42">
        <f t="shared" si="1"/>
        <v>46.103285714285711</v>
      </c>
    </row>
    <row r="24" spans="1:20" s="44" customFormat="1" ht="35.35" thickBot="1" x14ac:dyDescent="0.25">
      <c r="A24" s="48" t="s">
        <v>54</v>
      </c>
      <c r="B24" s="20">
        <v>0</v>
      </c>
      <c r="C24" s="37">
        <v>96.54</v>
      </c>
      <c r="D24" s="20">
        <v>0</v>
      </c>
      <c r="E24" s="49">
        <f t="shared" ref="E24" si="4">B24+C24+D24</f>
        <v>96.54</v>
      </c>
      <c r="F24" s="39">
        <v>0.39</v>
      </c>
      <c r="G24" s="40">
        <v>8419.58</v>
      </c>
      <c r="H24" s="20">
        <v>1720.36</v>
      </c>
      <c r="I24" s="46">
        <v>234.38</v>
      </c>
      <c r="J24" s="40">
        <v>481.66</v>
      </c>
      <c r="K24" s="20">
        <v>113.71</v>
      </c>
      <c r="L24" s="20">
        <v>0</v>
      </c>
      <c r="M24" s="40">
        <v>459.55</v>
      </c>
      <c r="N24" s="40">
        <f t="shared" si="2"/>
        <v>11429.239999999998</v>
      </c>
      <c r="O24" s="40">
        <f t="shared" si="0"/>
        <v>45.716959999999993</v>
      </c>
      <c r="P24" s="19">
        <f>E24+N24</f>
        <v>11525.779999999999</v>
      </c>
      <c r="Q24" s="50">
        <v>250</v>
      </c>
      <c r="R24" s="42">
        <f t="shared" si="1"/>
        <v>46.103119999999997</v>
      </c>
    </row>
    <row r="25" spans="1:20" ht="14.3" thickBot="1" x14ac:dyDescent="0.25">
      <c r="A25" s="21" t="s">
        <v>6</v>
      </c>
      <c r="B25" s="22">
        <f>SUM(B20:B24)</f>
        <v>31566.389999999996</v>
      </c>
      <c r="C25" s="22">
        <f>SUM(C20:C24)</f>
        <v>495.14000000000004</v>
      </c>
      <c r="D25" s="24">
        <f>SUM(D20:D24)</f>
        <v>65.41</v>
      </c>
      <c r="E25" s="22">
        <f>SUM(E20:E24)</f>
        <v>32126.92</v>
      </c>
      <c r="F25" s="22">
        <v>100.4</v>
      </c>
      <c r="G25" s="24">
        <f>SUM(G20:G24)</f>
        <v>19821.04</v>
      </c>
      <c r="H25" s="24">
        <f>SUM(H20:H24)</f>
        <v>2202.06</v>
      </c>
      <c r="I25" s="24">
        <f t="shared" ref="I25" si="5">SUM(I23:I24)</f>
        <v>300.01</v>
      </c>
      <c r="J25" s="24">
        <f>SUM(J20:J24)</f>
        <v>616.53</v>
      </c>
      <c r="K25" s="24">
        <f>SUM(K20:K24)</f>
        <v>145.54999999999998</v>
      </c>
      <c r="L25" s="24">
        <f>SUM(L23:L24)</f>
        <v>0</v>
      </c>
      <c r="M25" s="24">
        <f>SUM(M20:M24)</f>
        <v>588.23</v>
      </c>
      <c r="N25" s="24">
        <f>SUM(N20:N24)</f>
        <v>23673.42</v>
      </c>
      <c r="O25" s="54">
        <v>73.98</v>
      </c>
      <c r="P25" s="25">
        <f>SUM(P20:P24)-0.01</f>
        <v>55800.33</v>
      </c>
      <c r="Q25" s="54">
        <v>320</v>
      </c>
      <c r="R25" s="32">
        <v>174.38</v>
      </c>
    </row>
    <row r="26" spans="1:20" ht="14.95" x14ac:dyDescent="0.2">
      <c r="A26" s="28"/>
    </row>
    <row r="27" spans="1:20" ht="14.95" x14ac:dyDescent="0.2">
      <c r="A27" s="28" t="s">
        <v>36</v>
      </c>
    </row>
    <row r="28" spans="1:20" ht="14.95" x14ac:dyDescent="0.2">
      <c r="A28" s="28" t="s">
        <v>37</v>
      </c>
    </row>
    <row r="29" spans="1:20" ht="14.95" x14ac:dyDescent="0.2">
      <c r="A29" s="28" t="s">
        <v>38</v>
      </c>
    </row>
    <row r="30" spans="1:20" ht="14.95" x14ac:dyDescent="0.2">
      <c r="A30" s="28" t="s">
        <v>39</v>
      </c>
    </row>
    <row r="31" spans="1:20" ht="14.95" x14ac:dyDescent="0.2">
      <c r="A31" s="28" t="s">
        <v>40</v>
      </c>
    </row>
    <row r="32" spans="1:20" ht="14.95" x14ac:dyDescent="0.2">
      <c r="A32" s="28"/>
    </row>
    <row r="33" spans="6:6" x14ac:dyDescent="0.2">
      <c r="F33" s="3" t="s">
        <v>9</v>
      </c>
    </row>
  </sheetData>
  <mergeCells count="23">
    <mergeCell ref="O5:R5"/>
    <mergeCell ref="L15:L16"/>
    <mergeCell ref="M15:M16"/>
    <mergeCell ref="N15:O16"/>
    <mergeCell ref="A11:R11"/>
    <mergeCell ref="A9:R9"/>
    <mergeCell ref="O6:R6"/>
    <mergeCell ref="A1:V1"/>
    <mergeCell ref="R14:R16"/>
    <mergeCell ref="B15:B16"/>
    <mergeCell ref="C15:C16"/>
    <mergeCell ref="D15:D16"/>
    <mergeCell ref="E15:F16"/>
    <mergeCell ref="G15:G16"/>
    <mergeCell ref="H15:H16"/>
    <mergeCell ref="I15:I16"/>
    <mergeCell ref="J15:J16"/>
    <mergeCell ref="Q14:Q16"/>
    <mergeCell ref="A14:A16"/>
    <mergeCell ref="B14:F14"/>
    <mergeCell ref="K15:K16"/>
    <mergeCell ref="G14:O14"/>
    <mergeCell ref="O4:R4"/>
  </mergeCells>
  <pageMargins left="0.78740157480314965" right="0.78740157480314965" top="0.39370078740157483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zoomScaleNormal="100" workbookViewId="0">
      <selection activeCell="O3" sqref="O3:R4"/>
    </sheetView>
  </sheetViews>
  <sheetFormatPr defaultColWidth="9.125" defaultRowHeight="13.6" x14ac:dyDescent="0.2"/>
  <cols>
    <col min="1" max="1" width="43.875" style="3" customWidth="1"/>
    <col min="2" max="2" width="10.125" style="3" bestFit="1" customWidth="1"/>
    <col min="3" max="3" width="11.625" style="3" customWidth="1"/>
    <col min="4" max="4" width="12.125" style="3" customWidth="1"/>
    <col min="5" max="5" width="11.125" style="3" customWidth="1"/>
    <col min="6" max="6" width="9.25" style="3" bestFit="1" customWidth="1"/>
    <col min="7" max="7" width="12" style="3" customWidth="1"/>
    <col min="8" max="9" width="9.25" style="3" bestFit="1" customWidth="1"/>
    <col min="10" max="10" width="10.125" style="3" customWidth="1"/>
    <col min="11" max="13" width="9.25" style="3" bestFit="1" customWidth="1"/>
    <col min="14" max="14" width="10.625" style="3" customWidth="1"/>
    <col min="15" max="15" width="9.25" style="3" bestFit="1" customWidth="1"/>
    <col min="16" max="16" width="12.875" style="3" customWidth="1"/>
    <col min="17" max="17" width="10.375" style="3" bestFit="1" customWidth="1"/>
    <col min="18" max="18" width="10.125" style="3" bestFit="1" customWidth="1"/>
    <col min="19" max="16384" width="9.125" style="3"/>
  </cols>
  <sheetData>
    <row r="1" spans="1:24" ht="31.95" x14ac:dyDescent="0.4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55"/>
      <c r="X1" s="55"/>
    </row>
    <row r="3" spans="1:24" ht="15.8" customHeight="1" x14ac:dyDescent="0.25">
      <c r="K3" s="34"/>
      <c r="L3" s="34"/>
      <c r="M3" s="34"/>
      <c r="N3" s="34"/>
      <c r="O3" s="210" t="s">
        <v>105</v>
      </c>
      <c r="P3" s="210"/>
      <c r="Q3" s="210"/>
      <c r="R3" s="210"/>
    </row>
    <row r="4" spans="1:24" ht="15.8" customHeight="1" x14ac:dyDescent="0.25">
      <c r="K4" s="34"/>
      <c r="L4" s="34"/>
      <c r="M4" s="34"/>
      <c r="N4" s="34"/>
      <c r="O4" s="210" t="s">
        <v>106</v>
      </c>
      <c r="P4" s="210"/>
      <c r="Q4" s="210"/>
      <c r="R4" s="210"/>
    </row>
    <row r="5" spans="1:24" ht="15.8" customHeight="1" x14ac:dyDescent="0.25">
      <c r="K5" s="34"/>
      <c r="L5" s="34"/>
      <c r="M5" s="34"/>
      <c r="N5" s="34"/>
      <c r="O5" s="210" t="s">
        <v>66</v>
      </c>
      <c r="P5" s="210"/>
      <c r="Q5" s="210"/>
      <c r="R5" s="210"/>
    </row>
    <row r="6" spans="1:24" ht="15.8" customHeight="1" x14ac:dyDescent="0.25">
      <c r="K6" s="78"/>
      <c r="L6" s="77"/>
      <c r="M6" s="77"/>
      <c r="N6" s="77"/>
      <c r="O6" s="211" t="s">
        <v>91</v>
      </c>
      <c r="P6" s="211"/>
      <c r="Q6" s="211"/>
      <c r="R6" s="211"/>
    </row>
    <row r="9" spans="1:24" ht="18.350000000000001" x14ac:dyDescent="0.3">
      <c r="A9" s="171" t="s">
        <v>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4" ht="15.6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3.799999999999997" customHeight="1" x14ac:dyDescent="0.2">
      <c r="A11" s="173" t="s">
        <v>94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24" ht="14.3" thickBot="1" x14ac:dyDescent="0.25"/>
    <row r="14" spans="1:24" ht="68.3" customHeight="1" thickBot="1" x14ac:dyDescent="0.25">
      <c r="A14" s="214" t="s">
        <v>0</v>
      </c>
      <c r="B14" s="216" t="s">
        <v>12</v>
      </c>
      <c r="C14" s="217"/>
      <c r="D14" s="217"/>
      <c r="E14" s="217"/>
      <c r="F14" s="217"/>
      <c r="G14" s="218" t="s">
        <v>13</v>
      </c>
      <c r="H14" s="219"/>
      <c r="I14" s="219"/>
      <c r="J14" s="219"/>
      <c r="K14" s="219"/>
      <c r="L14" s="219"/>
      <c r="M14" s="219"/>
      <c r="N14" s="219"/>
      <c r="O14" s="220"/>
      <c r="P14" s="82" t="s">
        <v>1</v>
      </c>
      <c r="Q14" s="221" t="s">
        <v>2</v>
      </c>
      <c r="R14" s="223" t="s">
        <v>31</v>
      </c>
    </row>
    <row r="15" spans="1:24" ht="22.6" customHeight="1" x14ac:dyDescent="0.2">
      <c r="A15" s="215"/>
      <c r="B15" s="184" t="s">
        <v>32</v>
      </c>
      <c r="C15" s="184" t="s">
        <v>3</v>
      </c>
      <c r="D15" s="184" t="s">
        <v>4</v>
      </c>
      <c r="E15" s="225" t="s">
        <v>67</v>
      </c>
      <c r="F15" s="226"/>
      <c r="G15" s="203" t="s">
        <v>34</v>
      </c>
      <c r="H15" s="185" t="s">
        <v>11</v>
      </c>
      <c r="I15" s="185" t="s">
        <v>14</v>
      </c>
      <c r="J15" s="185" t="s">
        <v>15</v>
      </c>
      <c r="K15" s="203" t="s">
        <v>16</v>
      </c>
      <c r="L15" s="208" t="s">
        <v>17</v>
      </c>
      <c r="M15" s="212" t="s">
        <v>18</v>
      </c>
      <c r="N15" s="204" t="s">
        <v>35</v>
      </c>
      <c r="O15" s="205"/>
      <c r="P15" s="83" t="s">
        <v>19</v>
      </c>
      <c r="Q15" s="203"/>
      <c r="R15" s="224"/>
    </row>
    <row r="16" spans="1:24" ht="68.3" customHeight="1" thickBot="1" x14ac:dyDescent="0.25">
      <c r="A16" s="215"/>
      <c r="B16" s="185"/>
      <c r="C16" s="185"/>
      <c r="D16" s="185"/>
      <c r="E16" s="203"/>
      <c r="F16" s="227"/>
      <c r="G16" s="203"/>
      <c r="H16" s="185"/>
      <c r="I16" s="185"/>
      <c r="J16" s="185"/>
      <c r="K16" s="203"/>
      <c r="L16" s="209"/>
      <c r="M16" s="213"/>
      <c r="N16" s="206"/>
      <c r="O16" s="207"/>
      <c r="P16" s="84"/>
      <c r="Q16" s="222"/>
      <c r="R16" s="224"/>
    </row>
    <row r="17" spans="1:19" ht="39.1" customHeight="1" thickBot="1" x14ac:dyDescent="0.25">
      <c r="A17" s="85"/>
      <c r="B17" s="86" t="s">
        <v>7</v>
      </c>
      <c r="C17" s="86" t="s">
        <v>7</v>
      </c>
      <c r="D17" s="86" t="s">
        <v>7</v>
      </c>
      <c r="E17" s="86" t="s">
        <v>7</v>
      </c>
      <c r="F17" s="87" t="s">
        <v>27</v>
      </c>
      <c r="G17" s="86" t="s">
        <v>7</v>
      </c>
      <c r="H17" s="86" t="s">
        <v>7</v>
      </c>
      <c r="I17" s="86" t="s">
        <v>7</v>
      </c>
      <c r="J17" s="86" t="s">
        <v>7</v>
      </c>
      <c r="K17" s="86" t="s">
        <v>7</v>
      </c>
      <c r="L17" s="86" t="s">
        <v>7</v>
      </c>
      <c r="M17" s="86" t="s">
        <v>7</v>
      </c>
      <c r="N17" s="86" t="s">
        <v>7</v>
      </c>
      <c r="O17" s="87" t="s">
        <v>28</v>
      </c>
      <c r="P17" s="88" t="s">
        <v>7</v>
      </c>
      <c r="Q17" s="89" t="s">
        <v>24</v>
      </c>
      <c r="R17" s="87" t="s">
        <v>25</v>
      </c>
    </row>
    <row r="18" spans="1:19" ht="19.55" customHeight="1" thickBot="1" x14ac:dyDescent="0.25">
      <c r="A18" s="90">
        <v>1</v>
      </c>
      <c r="B18" s="90">
        <v>2</v>
      </c>
      <c r="C18" s="90">
        <v>3</v>
      </c>
      <c r="D18" s="90">
        <v>4</v>
      </c>
      <c r="E18" s="90">
        <v>5</v>
      </c>
      <c r="F18" s="90">
        <v>6</v>
      </c>
      <c r="G18" s="90">
        <v>7</v>
      </c>
      <c r="H18" s="90">
        <v>8</v>
      </c>
      <c r="I18" s="90">
        <v>9</v>
      </c>
      <c r="J18" s="90">
        <v>10</v>
      </c>
      <c r="K18" s="90">
        <v>11</v>
      </c>
      <c r="L18" s="90">
        <v>12</v>
      </c>
      <c r="M18" s="90">
        <v>13</v>
      </c>
      <c r="N18" s="90">
        <v>14</v>
      </c>
      <c r="O18" s="90">
        <v>15</v>
      </c>
      <c r="P18" s="90">
        <v>16</v>
      </c>
      <c r="Q18" s="91">
        <v>17</v>
      </c>
      <c r="R18" s="92">
        <v>18</v>
      </c>
    </row>
    <row r="19" spans="1:19" x14ac:dyDescent="0.2">
      <c r="A19" s="98" t="s">
        <v>5</v>
      </c>
      <c r="B19" s="94"/>
      <c r="C19" s="9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7"/>
    </row>
    <row r="20" spans="1:19" ht="60.8" customHeight="1" x14ac:dyDescent="0.2">
      <c r="A20" s="29" t="s">
        <v>55</v>
      </c>
      <c r="B20" s="100">
        <f>9987.91/16124*2568.5</f>
        <v>1591.041108595882</v>
      </c>
      <c r="C20" s="100">
        <f>12.61/16124*2568.5</f>
        <v>2.0087313941949887</v>
      </c>
      <c r="D20" s="100">
        <f>26.52/16124*2568.5</f>
        <v>4.2245484991317293</v>
      </c>
      <c r="E20" s="101">
        <f>SUM(B20:D20)</f>
        <v>1597.2743884892086</v>
      </c>
      <c r="F20" s="101">
        <f>E20/Q20</f>
        <v>0.62187050359712226</v>
      </c>
      <c r="G20" s="100">
        <f>3365.91/16124*2568.5</f>
        <v>536.17835741751423</v>
      </c>
      <c r="H20" s="100">
        <f>375.17/16124*2568.5</f>
        <v>59.763343153063765</v>
      </c>
      <c r="I20" s="102">
        <v>0</v>
      </c>
      <c r="J20" s="100">
        <f>8.36/16124*2568.5</f>
        <v>1.3317204167700321</v>
      </c>
      <c r="K20" s="100">
        <f>45.57/16124*2568.5</f>
        <v>7.25915064500124</v>
      </c>
      <c r="L20" s="102">
        <v>0</v>
      </c>
      <c r="M20" s="100">
        <f>934.04/16124*2568.5</f>
        <v>148.78949020094268</v>
      </c>
      <c r="N20" s="101">
        <f>SUM(G20:M20)</f>
        <v>753.32206183329185</v>
      </c>
      <c r="O20" s="101">
        <f t="shared" ref="O20:O24" si="0">N20/Q20</f>
        <v>0.2932926072934755</v>
      </c>
      <c r="P20" s="101">
        <f>E20+N20</f>
        <v>2350.5964503225005</v>
      </c>
      <c r="Q20" s="103">
        <v>2568.5</v>
      </c>
      <c r="R20" s="104">
        <f>P20/Q20</f>
        <v>0.91516311089059776</v>
      </c>
    </row>
    <row r="21" spans="1:19" ht="62.35" customHeight="1" x14ac:dyDescent="0.2">
      <c r="A21" s="29" t="s">
        <v>56</v>
      </c>
      <c r="B21" s="100">
        <f>9987.91/16124*1925.5</f>
        <v>1192.7388182212851</v>
      </c>
      <c r="C21" s="100">
        <f>12.61/16124*1925.5</f>
        <v>1.5058642396427686</v>
      </c>
      <c r="D21" s="100">
        <f>26.52/16124*1925.5</f>
        <v>3.1669722153311834</v>
      </c>
      <c r="E21" s="101">
        <f t="shared" ref="E21:E23" si="1">SUM(B21:D21)</f>
        <v>1197.4116546762591</v>
      </c>
      <c r="F21" s="101">
        <f t="shared" ref="F21:F24" si="2">E21/Q21</f>
        <v>0.62187050359712237</v>
      </c>
      <c r="G21" s="100">
        <f>3365.91/16124*1925.5</f>
        <v>401.9511104564624</v>
      </c>
      <c r="H21" s="100">
        <f>375.17/16124*1925.5</f>
        <v>44.802148040188541</v>
      </c>
      <c r="I21" s="51">
        <v>0</v>
      </c>
      <c r="J21" s="100">
        <f>8.36/16124*1925.5</f>
        <v>0.99833664103200193</v>
      </c>
      <c r="K21" s="100">
        <f>45.57/16124*1925.5</f>
        <v>5.4418900396923835</v>
      </c>
      <c r="L21" s="51">
        <v>0</v>
      </c>
      <c r="M21" s="100">
        <f>934.04/16124*1925.5</f>
        <v>111.54143016621185</v>
      </c>
      <c r="N21" s="101">
        <f t="shared" ref="N21:N23" si="3">SUM(G21:M21)</f>
        <v>564.73491534358709</v>
      </c>
      <c r="O21" s="101">
        <f t="shared" si="0"/>
        <v>0.2932926072934755</v>
      </c>
      <c r="P21" s="101">
        <f t="shared" ref="P21:P23" si="4">E21+N21</f>
        <v>1762.1465700198462</v>
      </c>
      <c r="Q21" s="103">
        <v>1925.5</v>
      </c>
      <c r="R21" s="104">
        <f t="shared" ref="R21:R24" si="5">P21/Q21</f>
        <v>0.91516311089059788</v>
      </c>
    </row>
    <row r="22" spans="1:19" ht="57.1" customHeight="1" x14ac:dyDescent="0.2">
      <c r="A22" s="29" t="s">
        <v>57</v>
      </c>
      <c r="B22" s="100">
        <f>9987.91/16124*5969.5</f>
        <v>3697.7690861448773</v>
      </c>
      <c r="C22" s="100">
        <f>12.61/16124*5969.5</f>
        <v>4.6685310716943684</v>
      </c>
      <c r="D22" s="100">
        <f>26.52/16124*5969.5</f>
        <v>9.8183540064500132</v>
      </c>
      <c r="E22" s="101">
        <f t="shared" si="1"/>
        <v>3712.2559712230218</v>
      </c>
      <c r="F22" s="101">
        <f t="shared" si="2"/>
        <v>0.62187050359712237</v>
      </c>
      <c r="G22" s="100">
        <f>3365.91/16124*5969.5</f>
        <v>1246.1423806127511</v>
      </c>
      <c r="H22" s="100">
        <f>375.17/16124*5969.5</f>
        <v>138.89712943438354</v>
      </c>
      <c r="I22" s="51">
        <v>0</v>
      </c>
      <c r="J22" s="100">
        <f>8.36/16124*5969.5</f>
        <v>3.095076903994046</v>
      </c>
      <c r="K22" s="100">
        <f>45.57/16124*5969.5</f>
        <v>16.871130922847929</v>
      </c>
      <c r="L22" s="51">
        <v>0</v>
      </c>
      <c r="M22" s="100">
        <f>934.04/16124*5969.5</f>
        <v>345.80450136442568</v>
      </c>
      <c r="N22" s="101">
        <f t="shared" si="3"/>
        <v>1750.8102192384024</v>
      </c>
      <c r="O22" s="101">
        <f t="shared" si="0"/>
        <v>0.29329260729347556</v>
      </c>
      <c r="P22" s="101">
        <f t="shared" si="4"/>
        <v>5463.0661904614244</v>
      </c>
      <c r="Q22" s="103">
        <v>5969.5</v>
      </c>
      <c r="R22" s="104">
        <f t="shared" si="5"/>
        <v>0.91516311089059799</v>
      </c>
    </row>
    <row r="23" spans="1:19" ht="66.099999999999994" customHeight="1" x14ac:dyDescent="0.2">
      <c r="A23" s="29" t="s">
        <v>58</v>
      </c>
      <c r="B23" s="100">
        <f>9987.91/16124*5660.5</f>
        <v>3506.360987037956</v>
      </c>
      <c r="C23" s="100">
        <f>12.61/16124*5660.5</f>
        <v>4.4268732944678737</v>
      </c>
      <c r="D23" s="100">
        <f>26.52/16124*5660.5</f>
        <v>9.3101252790870763</v>
      </c>
      <c r="E23" s="101">
        <f t="shared" si="1"/>
        <v>3520.0979856115109</v>
      </c>
      <c r="F23" s="101">
        <f t="shared" si="2"/>
        <v>0.62187050359712237</v>
      </c>
      <c r="G23" s="100">
        <f>3365.91/16124*5660.5</f>
        <v>1181.6381515132721</v>
      </c>
      <c r="H23" s="100">
        <f>375.17/16124*5660.5</f>
        <v>131.70737937236419</v>
      </c>
      <c r="I23" s="2">
        <v>0</v>
      </c>
      <c r="J23" s="100">
        <f>8.36/16124*5660.5</f>
        <v>2.9348660382039196</v>
      </c>
      <c r="K23" s="100">
        <f>45.57/16124*5660.5</f>
        <v>15.997828392458446</v>
      </c>
      <c r="L23" s="2">
        <v>0</v>
      </c>
      <c r="M23" s="100">
        <f>934.04/16124*5660.5</f>
        <v>327.90457826841975</v>
      </c>
      <c r="N23" s="101">
        <f t="shared" si="3"/>
        <v>1660.1828035847182</v>
      </c>
      <c r="O23" s="101">
        <f t="shared" si="0"/>
        <v>0.2932926072934755</v>
      </c>
      <c r="P23" s="101">
        <f t="shared" si="4"/>
        <v>5180.2807891962293</v>
      </c>
      <c r="Q23" s="105">
        <v>5660.5</v>
      </c>
      <c r="R23" s="104">
        <f t="shared" si="5"/>
        <v>0.91516311089059788</v>
      </c>
      <c r="S23" s="33"/>
    </row>
    <row r="24" spans="1:19" ht="26.5" thickBot="1" x14ac:dyDescent="0.25">
      <c r="A24" s="35" t="s">
        <v>59</v>
      </c>
      <c r="B24" s="106">
        <v>2439.37</v>
      </c>
      <c r="C24" s="106">
        <v>3.08</v>
      </c>
      <c r="D24" s="106">
        <v>6.48</v>
      </c>
      <c r="E24" s="107">
        <f t="shared" ref="E24" si="6">B24+C24+D24</f>
        <v>2448.9299999999998</v>
      </c>
      <c r="F24" s="101">
        <f t="shared" si="2"/>
        <v>0.62187150837988825</v>
      </c>
      <c r="G24" s="106">
        <v>822.06</v>
      </c>
      <c r="H24" s="106">
        <v>91.63</v>
      </c>
      <c r="I24" s="108">
        <v>0</v>
      </c>
      <c r="J24" s="106">
        <v>2.04</v>
      </c>
      <c r="K24" s="106">
        <v>11.13</v>
      </c>
      <c r="L24" s="108">
        <v>0</v>
      </c>
      <c r="M24" s="106">
        <v>228.12</v>
      </c>
      <c r="N24" s="106">
        <f>SUM(G24:M24)</f>
        <v>1154.98</v>
      </c>
      <c r="O24" s="109">
        <f t="shared" si="0"/>
        <v>0.29329101066531232</v>
      </c>
      <c r="P24" s="106">
        <f>E24+N24</f>
        <v>3603.91</v>
      </c>
      <c r="Q24" s="110">
        <v>3938</v>
      </c>
      <c r="R24" s="104">
        <f t="shared" si="5"/>
        <v>0.91516251904520052</v>
      </c>
      <c r="S24" s="33"/>
    </row>
    <row r="25" spans="1:19" ht="14.3" thickBot="1" x14ac:dyDescent="0.25">
      <c r="A25" s="99" t="s">
        <v>6</v>
      </c>
      <c r="B25" s="22">
        <f>SUM(B20:B24)</f>
        <v>12427.279999999999</v>
      </c>
      <c r="C25" s="22">
        <f>SUM(C20:C24)</f>
        <v>15.69</v>
      </c>
      <c r="D25" s="22">
        <f>SUM(D20:D24)</f>
        <v>33</v>
      </c>
      <c r="E25" s="22">
        <f>SUM(E20:E24)</f>
        <v>12475.970000000001</v>
      </c>
      <c r="F25" s="52" t="s">
        <v>20</v>
      </c>
      <c r="G25" s="22">
        <f>SUM(G20:G24)</f>
        <v>4187.9699999999993</v>
      </c>
      <c r="H25" s="22">
        <f>SUM(H20:H24)</f>
        <v>466.80000000000007</v>
      </c>
      <c r="I25" s="24">
        <f t="shared" ref="I25" si="7">SUM(I23:I24)</f>
        <v>0</v>
      </c>
      <c r="J25" s="24">
        <f>SUM(J20:J24)</f>
        <v>10.399999999999999</v>
      </c>
      <c r="K25" s="22">
        <f>SUM(K20:K24)</f>
        <v>56.7</v>
      </c>
      <c r="L25" s="24">
        <f>SUM(L23:L24)</f>
        <v>0</v>
      </c>
      <c r="M25" s="22">
        <f>SUM(M20:M24)</f>
        <v>1162.1599999999999</v>
      </c>
      <c r="N25" s="22">
        <f>SUM(N20:N24)</f>
        <v>5884.0299999999988</v>
      </c>
      <c r="O25" s="52" t="s">
        <v>20</v>
      </c>
      <c r="P25" s="25">
        <f>SUM(P20:P24)</f>
        <v>18360</v>
      </c>
      <c r="Q25" s="111">
        <f>Q20+Q21+Q22+Q23+Q24</f>
        <v>20062</v>
      </c>
      <c r="R25" s="53" t="s">
        <v>20</v>
      </c>
    </row>
    <row r="26" spans="1:19" ht="14.95" x14ac:dyDescent="0.2">
      <c r="A26" s="28"/>
    </row>
    <row r="27" spans="1:19" ht="14.95" x14ac:dyDescent="0.2">
      <c r="A27" s="28" t="s">
        <v>36</v>
      </c>
    </row>
    <row r="28" spans="1:19" ht="14.95" x14ac:dyDescent="0.2">
      <c r="A28" s="28" t="s">
        <v>37</v>
      </c>
    </row>
    <row r="29" spans="1:19" ht="14.95" x14ac:dyDescent="0.2">
      <c r="A29" s="28" t="s">
        <v>38</v>
      </c>
    </row>
    <row r="30" spans="1:19" ht="14.95" x14ac:dyDescent="0.2">
      <c r="A30" s="28" t="s">
        <v>39</v>
      </c>
    </row>
    <row r="31" spans="1:19" ht="14.95" x14ac:dyDescent="0.2">
      <c r="A31" s="28" t="s">
        <v>40</v>
      </c>
    </row>
    <row r="32" spans="1:19" ht="14.95" x14ac:dyDescent="0.2">
      <c r="A32" s="28"/>
    </row>
    <row r="33" spans="6:6" x14ac:dyDescent="0.2">
      <c r="F33" s="3" t="s">
        <v>9</v>
      </c>
    </row>
  </sheetData>
  <mergeCells count="24">
    <mergeCell ref="R14:R16"/>
    <mergeCell ref="H15:H16"/>
    <mergeCell ref="I15:I16"/>
    <mergeCell ref="B15:B16"/>
    <mergeCell ref="C15:C16"/>
    <mergeCell ref="D15:D16"/>
    <mergeCell ref="E15:F16"/>
    <mergeCell ref="G15:G16"/>
    <mergeCell ref="A1:V1"/>
    <mergeCell ref="K15:K16"/>
    <mergeCell ref="N15:O16"/>
    <mergeCell ref="L15:L16"/>
    <mergeCell ref="O3:R3"/>
    <mergeCell ref="O4:R4"/>
    <mergeCell ref="O5:R5"/>
    <mergeCell ref="O6:R6"/>
    <mergeCell ref="M15:M16"/>
    <mergeCell ref="J15:J16"/>
    <mergeCell ref="A11:R11"/>
    <mergeCell ref="A9:R9"/>
    <mergeCell ref="A14:A16"/>
    <mergeCell ref="B14:F14"/>
    <mergeCell ref="G14:O14"/>
    <mergeCell ref="Q14:Q16"/>
  </mergeCells>
  <pageMargins left="0.39370078740157483" right="0.39370078740157483" top="0.39370078740157483" bottom="0.59055118110236227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X29"/>
  <sheetViews>
    <sheetView topLeftCell="A13" workbookViewId="0">
      <selection activeCell="H20" sqref="H20"/>
    </sheetView>
  </sheetViews>
  <sheetFormatPr defaultColWidth="9.125" defaultRowHeight="13.6" x14ac:dyDescent="0.2"/>
  <cols>
    <col min="1" max="1" width="32.25" style="3" customWidth="1"/>
    <col min="2" max="3" width="9.25" style="3" customWidth="1"/>
    <col min="4" max="4" width="9.25" style="3" bestFit="1" customWidth="1"/>
    <col min="5" max="5" width="9.625" style="3" bestFit="1" customWidth="1"/>
    <col min="6" max="6" width="9.25" style="3" bestFit="1" customWidth="1"/>
    <col min="7" max="7" width="10.75" style="3" customWidth="1"/>
    <col min="8" max="8" width="9.75" style="3" customWidth="1"/>
    <col min="9" max="9" width="10" style="3" customWidth="1"/>
    <col min="10" max="12" width="9.25" style="3" bestFit="1" customWidth="1"/>
    <col min="13" max="13" width="9.625" style="3" bestFit="1" customWidth="1"/>
    <col min="14" max="14" width="11.375" style="3" customWidth="1"/>
    <col min="15" max="15" width="9.625" style="3" bestFit="1" customWidth="1"/>
    <col min="16" max="16" width="11.875" style="3" customWidth="1"/>
    <col min="17" max="17" width="10.375" style="3" bestFit="1" customWidth="1"/>
    <col min="18" max="18" width="10" style="3" customWidth="1"/>
    <col min="19" max="16384" width="9.125" style="3"/>
  </cols>
  <sheetData>
    <row r="1" spans="1:24" ht="31.95" x14ac:dyDescent="0.45">
      <c r="A1" s="228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55"/>
      <c r="W1" s="55"/>
      <c r="X1" s="55"/>
    </row>
    <row r="2" spans="1:24" ht="15.8" customHeight="1" x14ac:dyDescent="0.2"/>
    <row r="3" spans="1:24" ht="18" customHeight="1" x14ac:dyDescent="0.3">
      <c r="L3" s="77"/>
      <c r="M3" s="77"/>
      <c r="N3" s="174" t="s">
        <v>105</v>
      </c>
      <c r="O3" s="174"/>
      <c r="P3" s="174"/>
      <c r="Q3" s="174"/>
      <c r="R3" s="174"/>
    </row>
    <row r="4" spans="1:24" ht="18" customHeight="1" x14ac:dyDescent="0.3">
      <c r="K4" s="78"/>
      <c r="L4" s="78"/>
      <c r="M4" s="78"/>
      <c r="N4" s="175" t="s">
        <v>106</v>
      </c>
      <c r="O4" s="175"/>
      <c r="P4" s="175"/>
      <c r="Q4" s="175"/>
      <c r="R4" s="175"/>
    </row>
    <row r="5" spans="1:24" ht="18" customHeight="1" x14ac:dyDescent="0.3">
      <c r="K5" s="78" t="s">
        <v>65</v>
      </c>
      <c r="L5" s="78"/>
      <c r="M5" s="78"/>
      <c r="N5" s="175" t="s">
        <v>66</v>
      </c>
      <c r="O5" s="175"/>
      <c r="P5" s="175"/>
      <c r="Q5" s="175"/>
      <c r="R5" s="175"/>
    </row>
    <row r="6" spans="1:24" ht="18" customHeight="1" x14ac:dyDescent="0.3">
      <c r="K6" s="77"/>
      <c r="L6" s="77"/>
      <c r="M6" s="77"/>
      <c r="N6" s="174" t="s">
        <v>91</v>
      </c>
      <c r="O6" s="174"/>
      <c r="P6" s="174"/>
      <c r="Q6" s="174"/>
      <c r="R6" s="174"/>
    </row>
    <row r="9" spans="1:24" ht="18.350000000000001" x14ac:dyDescent="0.3">
      <c r="A9" s="171" t="s">
        <v>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4" ht="15.6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29.25" customHeight="1" x14ac:dyDescent="0.2">
      <c r="A11" s="173" t="s">
        <v>95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24" ht="14.3" thickBot="1" x14ac:dyDescent="0.25"/>
    <row r="14" spans="1:24" ht="89.35" customHeight="1" thickBot="1" x14ac:dyDescent="0.25">
      <c r="A14" s="214" t="s">
        <v>0</v>
      </c>
      <c r="B14" s="216" t="s">
        <v>12</v>
      </c>
      <c r="C14" s="217"/>
      <c r="D14" s="217"/>
      <c r="E14" s="217"/>
      <c r="F14" s="217"/>
      <c r="G14" s="218" t="s">
        <v>13</v>
      </c>
      <c r="H14" s="219"/>
      <c r="I14" s="219"/>
      <c r="J14" s="219"/>
      <c r="K14" s="219"/>
      <c r="L14" s="219"/>
      <c r="M14" s="219"/>
      <c r="N14" s="219"/>
      <c r="O14" s="220"/>
      <c r="P14" s="82" t="s">
        <v>1</v>
      </c>
      <c r="Q14" s="221" t="s">
        <v>2</v>
      </c>
      <c r="R14" s="223" t="s">
        <v>23</v>
      </c>
    </row>
    <row r="15" spans="1:24" ht="22.6" customHeight="1" x14ac:dyDescent="0.2">
      <c r="A15" s="215"/>
      <c r="B15" s="184" t="s">
        <v>32</v>
      </c>
      <c r="C15" s="184" t="s">
        <v>3</v>
      </c>
      <c r="D15" s="184" t="s">
        <v>4</v>
      </c>
      <c r="E15" s="225" t="s">
        <v>67</v>
      </c>
      <c r="F15" s="226"/>
      <c r="G15" s="203" t="s">
        <v>34</v>
      </c>
      <c r="H15" s="185" t="s">
        <v>11</v>
      </c>
      <c r="I15" s="185" t="s">
        <v>14</v>
      </c>
      <c r="J15" s="185" t="s">
        <v>15</v>
      </c>
      <c r="K15" s="203" t="s">
        <v>16</v>
      </c>
      <c r="L15" s="208" t="s">
        <v>17</v>
      </c>
      <c r="M15" s="212" t="s">
        <v>18</v>
      </c>
      <c r="N15" s="204" t="s">
        <v>35</v>
      </c>
      <c r="O15" s="205"/>
      <c r="P15" s="83" t="s">
        <v>19</v>
      </c>
      <c r="Q15" s="203"/>
      <c r="R15" s="224"/>
    </row>
    <row r="16" spans="1:24" ht="79.5" customHeight="1" thickBot="1" x14ac:dyDescent="0.25">
      <c r="A16" s="215"/>
      <c r="B16" s="185"/>
      <c r="C16" s="185"/>
      <c r="D16" s="185"/>
      <c r="E16" s="203"/>
      <c r="F16" s="227"/>
      <c r="G16" s="203"/>
      <c r="H16" s="185"/>
      <c r="I16" s="185"/>
      <c r="J16" s="185"/>
      <c r="K16" s="203"/>
      <c r="L16" s="209"/>
      <c r="M16" s="213"/>
      <c r="N16" s="206"/>
      <c r="O16" s="207"/>
      <c r="P16" s="84"/>
      <c r="Q16" s="222"/>
      <c r="R16" s="224"/>
    </row>
    <row r="17" spans="1:18" ht="50.95" customHeight="1" thickBot="1" x14ac:dyDescent="0.25">
      <c r="A17" s="85"/>
      <c r="B17" s="86" t="s">
        <v>7</v>
      </c>
      <c r="C17" s="86" t="s">
        <v>7</v>
      </c>
      <c r="D17" s="86" t="s">
        <v>7</v>
      </c>
      <c r="E17" s="86" t="s">
        <v>7</v>
      </c>
      <c r="F17" s="87" t="s">
        <v>21</v>
      </c>
      <c r="G17" s="86" t="s">
        <v>7</v>
      </c>
      <c r="H17" s="86" t="s">
        <v>7</v>
      </c>
      <c r="I17" s="86" t="s">
        <v>7</v>
      </c>
      <c r="J17" s="86" t="s">
        <v>7</v>
      </c>
      <c r="K17" s="86" t="s">
        <v>7</v>
      </c>
      <c r="L17" s="86" t="s">
        <v>7</v>
      </c>
      <c r="M17" s="86" t="s">
        <v>7</v>
      </c>
      <c r="N17" s="86" t="s">
        <v>7</v>
      </c>
      <c r="O17" s="87" t="s">
        <v>22</v>
      </c>
      <c r="P17" s="88" t="s">
        <v>7</v>
      </c>
      <c r="Q17" s="89" t="s">
        <v>24</v>
      </c>
      <c r="R17" s="87" t="s">
        <v>25</v>
      </c>
    </row>
    <row r="18" spans="1:18" ht="19.55" customHeight="1" thickBot="1" x14ac:dyDescent="0.25">
      <c r="A18" s="86">
        <v>1</v>
      </c>
      <c r="B18" s="90">
        <v>2</v>
      </c>
      <c r="C18" s="90">
        <v>3</v>
      </c>
      <c r="D18" s="90">
        <v>4</v>
      </c>
      <c r="E18" s="90">
        <v>5</v>
      </c>
      <c r="F18" s="90">
        <v>6</v>
      </c>
      <c r="G18" s="90">
        <v>7</v>
      </c>
      <c r="H18" s="90">
        <v>8</v>
      </c>
      <c r="I18" s="90">
        <v>9</v>
      </c>
      <c r="J18" s="90">
        <v>10</v>
      </c>
      <c r="K18" s="90">
        <v>11</v>
      </c>
      <c r="L18" s="90">
        <v>12</v>
      </c>
      <c r="M18" s="90">
        <v>13</v>
      </c>
      <c r="N18" s="90">
        <v>14</v>
      </c>
      <c r="O18" s="90">
        <v>15</v>
      </c>
      <c r="P18" s="90">
        <v>16</v>
      </c>
      <c r="Q18" s="91">
        <v>17</v>
      </c>
      <c r="R18" s="92">
        <v>18</v>
      </c>
    </row>
    <row r="19" spans="1:18" x14ac:dyDescent="0.2">
      <c r="A19" s="93" t="s">
        <v>5</v>
      </c>
      <c r="B19" s="94"/>
      <c r="C19" s="9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7"/>
    </row>
    <row r="20" spans="1:18" ht="38.75" x14ac:dyDescent="0.2">
      <c r="A20" s="29" t="s">
        <v>60</v>
      </c>
      <c r="B20" s="56">
        <v>7269.02</v>
      </c>
      <c r="C20" s="57">
        <v>0</v>
      </c>
      <c r="D20" s="56">
        <v>158.88</v>
      </c>
      <c r="E20" s="58">
        <f>SUM(B20:D20)</f>
        <v>7427.9000000000005</v>
      </c>
      <c r="F20" s="58">
        <f>E20/110525</f>
        <v>6.7205609590590368E-2</v>
      </c>
      <c r="G20" s="58">
        <f>8388.28+48.08</f>
        <v>8436.36</v>
      </c>
      <c r="H20" s="58">
        <v>1839.8</v>
      </c>
      <c r="I20" s="59">
        <v>215.852</v>
      </c>
      <c r="J20" s="58">
        <v>11.56</v>
      </c>
      <c r="K20" s="58">
        <v>70.028000000000006</v>
      </c>
      <c r="L20" s="59">
        <v>0</v>
      </c>
      <c r="M20" s="58">
        <f>587.676-48.08</f>
        <v>539.596</v>
      </c>
      <c r="N20" s="58">
        <f>SUM(G20:M20)</f>
        <v>11113.196</v>
      </c>
      <c r="O20" s="58">
        <f>N20/110525</f>
        <v>0.10054916082334313</v>
      </c>
      <c r="P20" s="58">
        <f>E20+N20</f>
        <v>18541.096000000001</v>
      </c>
      <c r="Q20" s="60" t="s">
        <v>64</v>
      </c>
      <c r="R20" s="61">
        <f>P20/110525</f>
        <v>0.16775477041393352</v>
      </c>
    </row>
    <row r="21" spans="1:18" ht="30.1" customHeight="1" thickBot="1" x14ac:dyDescent="0.25">
      <c r="A21" s="35" t="s">
        <v>61</v>
      </c>
      <c r="B21" s="62">
        <v>0</v>
      </c>
      <c r="C21" s="62">
        <v>131.11000000000001</v>
      </c>
      <c r="D21" s="62">
        <v>0</v>
      </c>
      <c r="E21" s="63">
        <f t="shared" ref="E21" si="0">B21+C21+D21</f>
        <v>131.11000000000001</v>
      </c>
      <c r="F21" s="64">
        <f>E21/40</f>
        <v>3.2777500000000002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5">
        <v>0</v>
      </c>
      <c r="N21" s="62">
        <f>SUM(G21:M21)</f>
        <v>0</v>
      </c>
      <c r="O21" s="66">
        <f>N21/40*100</f>
        <v>0</v>
      </c>
      <c r="P21" s="134">
        <f>E21+N21</f>
        <v>131.11000000000001</v>
      </c>
      <c r="Q21" s="67" t="s">
        <v>63</v>
      </c>
      <c r="R21" s="68">
        <f>P21/40</f>
        <v>3.2777500000000002</v>
      </c>
    </row>
    <row r="22" spans="1:18" ht="14.3" thickBot="1" x14ac:dyDescent="0.25">
      <c r="A22" s="30" t="s">
        <v>6</v>
      </c>
      <c r="B22" s="31">
        <f>SUM(B20:B21)</f>
        <v>7269.02</v>
      </c>
      <c r="C22" s="22">
        <f>SUM(C20:C21)</f>
        <v>131.11000000000001</v>
      </c>
      <c r="D22" s="22">
        <f>SUM(D20:D21)</f>
        <v>158.88</v>
      </c>
      <c r="E22" s="22">
        <f>SUM(E20:E21)</f>
        <v>7559.01</v>
      </c>
      <c r="F22" s="23" t="s">
        <v>20</v>
      </c>
      <c r="G22" s="22">
        <f>SUM(G20:G21)</f>
        <v>8436.36</v>
      </c>
      <c r="H22" s="22">
        <f>SUM(H20:H21)</f>
        <v>1839.8</v>
      </c>
      <c r="I22" s="24">
        <f t="shared" ref="I22" si="1">SUM(I20:I21)</f>
        <v>215.852</v>
      </c>
      <c r="J22" s="24">
        <f>SUM(J20:J21)</f>
        <v>11.56</v>
      </c>
      <c r="K22" s="22">
        <f>SUM(K20:K21)</f>
        <v>70.028000000000006</v>
      </c>
      <c r="L22" s="24">
        <f>SUM(L20:L21)</f>
        <v>0</v>
      </c>
      <c r="M22" s="22">
        <f>SUM(M20:M21)</f>
        <v>539.596</v>
      </c>
      <c r="N22" s="22">
        <f>SUM(N20:N21)</f>
        <v>11113.196</v>
      </c>
      <c r="O22" s="23" t="s">
        <v>20</v>
      </c>
      <c r="P22" s="25">
        <f>SUM(P20:P21)</f>
        <v>18672.206000000002</v>
      </c>
      <c r="Q22" s="26">
        <f>SUM(Q20:Q21)</f>
        <v>0</v>
      </c>
      <c r="R22" s="32" t="s">
        <v>20</v>
      </c>
    </row>
    <row r="23" spans="1:18" ht="14.95" x14ac:dyDescent="0.2">
      <c r="A23" s="28"/>
    </row>
    <row r="24" spans="1:18" ht="14.95" x14ac:dyDescent="0.2">
      <c r="A24" s="28" t="s">
        <v>36</v>
      </c>
    </row>
    <row r="25" spans="1:18" ht="14.95" x14ac:dyDescent="0.2">
      <c r="A25" s="28" t="s">
        <v>37</v>
      </c>
    </row>
    <row r="26" spans="1:18" ht="14.95" x14ac:dyDescent="0.2">
      <c r="A26" s="28" t="s">
        <v>38</v>
      </c>
    </row>
    <row r="27" spans="1:18" ht="14.95" x14ac:dyDescent="0.2">
      <c r="A27" s="28" t="s">
        <v>39</v>
      </c>
    </row>
    <row r="28" spans="1:18" ht="14.95" x14ac:dyDescent="0.2">
      <c r="A28" s="28" t="s">
        <v>40</v>
      </c>
    </row>
    <row r="29" spans="1:18" ht="14.95" x14ac:dyDescent="0.2">
      <c r="A29" s="28"/>
    </row>
  </sheetData>
  <mergeCells count="24">
    <mergeCell ref="N3:R3"/>
    <mergeCell ref="N4:R4"/>
    <mergeCell ref="N5:R5"/>
    <mergeCell ref="N6:R6"/>
    <mergeCell ref="L15:L16"/>
    <mergeCell ref="M15:M16"/>
    <mergeCell ref="N15:O16"/>
    <mergeCell ref="R14:R16"/>
    <mergeCell ref="B15:B16"/>
    <mergeCell ref="C15:C16"/>
    <mergeCell ref="D15:D16"/>
    <mergeCell ref="A1:U1"/>
    <mergeCell ref="Q14:Q16"/>
    <mergeCell ref="G14:O14"/>
    <mergeCell ref="E15:F16"/>
    <mergeCell ref="G15:G16"/>
    <mergeCell ref="H15:H16"/>
    <mergeCell ref="I15:I16"/>
    <mergeCell ref="J15:J16"/>
    <mergeCell ref="A14:A16"/>
    <mergeCell ref="B14:F14"/>
    <mergeCell ref="K15:K16"/>
    <mergeCell ref="A11:R11"/>
    <mergeCell ref="A9:R9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3"/>
  <sheetViews>
    <sheetView tabSelected="1" zoomScale="90" zoomScaleNormal="90" workbookViewId="0">
      <selection activeCell="O6" sqref="O6:S6"/>
    </sheetView>
  </sheetViews>
  <sheetFormatPr defaultColWidth="9.125" defaultRowHeight="13.6" x14ac:dyDescent="0.2"/>
  <cols>
    <col min="1" max="1" width="36.875" style="3" customWidth="1"/>
    <col min="2" max="3" width="10.875" style="3" customWidth="1"/>
    <col min="4" max="4" width="9.125" style="3"/>
    <col min="5" max="5" width="11.375" style="3" customWidth="1"/>
    <col min="6" max="6" width="9.125" style="3"/>
    <col min="7" max="9" width="10.625" style="3" customWidth="1"/>
    <col min="10" max="10" width="10.375" style="3" customWidth="1"/>
    <col min="11" max="11" width="9.125" style="3"/>
    <col min="12" max="12" width="10.75" style="3" customWidth="1"/>
    <col min="13" max="13" width="9.125" style="3"/>
    <col min="14" max="14" width="10.625" style="3" customWidth="1"/>
    <col min="15" max="15" width="8.875" style="3" customWidth="1"/>
    <col min="16" max="16" width="12.875" style="3" customWidth="1"/>
    <col min="17" max="18" width="11.125" style="3" customWidth="1"/>
    <col min="19" max="16384" width="9.125" style="3"/>
  </cols>
  <sheetData>
    <row r="1" spans="1:24" ht="31.95" x14ac:dyDescent="0.4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55"/>
      <c r="W1" s="55"/>
      <c r="X1" s="55"/>
    </row>
    <row r="3" spans="1:24" ht="17.350000000000001" customHeight="1" x14ac:dyDescent="0.3">
      <c r="K3" s="77"/>
      <c r="L3" s="77"/>
      <c r="M3" s="77"/>
      <c r="N3" s="77"/>
      <c r="O3" s="133" t="s">
        <v>108</v>
      </c>
      <c r="P3" s="133"/>
      <c r="Q3" s="133"/>
      <c r="R3" s="133"/>
    </row>
    <row r="4" spans="1:24" ht="17.350000000000001" customHeight="1" x14ac:dyDescent="0.3">
      <c r="K4" s="77"/>
      <c r="L4" s="77"/>
      <c r="M4" s="77"/>
      <c r="N4" s="77"/>
      <c r="O4" s="175" t="s">
        <v>106</v>
      </c>
      <c r="P4" s="175"/>
      <c r="Q4" s="175"/>
      <c r="R4" s="175"/>
    </row>
    <row r="5" spans="1:24" ht="17.350000000000001" customHeight="1" x14ac:dyDescent="0.3">
      <c r="K5" s="79"/>
      <c r="L5" s="79"/>
      <c r="M5" s="79"/>
      <c r="N5" s="79"/>
      <c r="O5" s="175" t="s">
        <v>66</v>
      </c>
      <c r="P5" s="175"/>
      <c r="Q5" s="175"/>
      <c r="R5" s="175"/>
    </row>
    <row r="6" spans="1:24" ht="17.350000000000001" customHeight="1" x14ac:dyDescent="0.3">
      <c r="K6" s="78"/>
      <c r="L6" s="77"/>
      <c r="M6" s="77"/>
      <c r="N6" s="77"/>
      <c r="O6" s="174" t="s">
        <v>109</v>
      </c>
      <c r="P6" s="174"/>
      <c r="Q6" s="174"/>
      <c r="R6" s="174"/>
      <c r="S6" s="174"/>
    </row>
    <row r="9" spans="1:24" ht="18.350000000000001" x14ac:dyDescent="0.3">
      <c r="A9" s="171" t="s">
        <v>8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4" ht="15.6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4" ht="30.1" customHeight="1" x14ac:dyDescent="0.2">
      <c r="A11" s="173" t="s">
        <v>107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</row>
    <row r="13" spans="1:24" ht="14.3" thickBot="1" x14ac:dyDescent="0.25"/>
    <row r="14" spans="1:24" ht="68.3" customHeight="1" thickBot="1" x14ac:dyDescent="0.25">
      <c r="A14" s="214" t="s">
        <v>0</v>
      </c>
      <c r="B14" s="216" t="s">
        <v>12</v>
      </c>
      <c r="C14" s="217"/>
      <c r="D14" s="217"/>
      <c r="E14" s="217"/>
      <c r="F14" s="217"/>
      <c r="G14" s="218" t="s">
        <v>13</v>
      </c>
      <c r="H14" s="219"/>
      <c r="I14" s="219"/>
      <c r="J14" s="219"/>
      <c r="K14" s="219"/>
      <c r="L14" s="219"/>
      <c r="M14" s="219"/>
      <c r="N14" s="219"/>
      <c r="O14" s="220"/>
      <c r="P14" s="82" t="s">
        <v>1</v>
      </c>
      <c r="Q14" s="221" t="s">
        <v>2</v>
      </c>
      <c r="R14" s="223" t="s">
        <v>23</v>
      </c>
    </row>
    <row r="15" spans="1:24" ht="22.6" customHeight="1" x14ac:dyDescent="0.2">
      <c r="A15" s="215"/>
      <c r="B15" s="184" t="s">
        <v>32</v>
      </c>
      <c r="C15" s="184" t="s">
        <v>3</v>
      </c>
      <c r="D15" s="184" t="s">
        <v>4</v>
      </c>
      <c r="E15" s="225" t="s">
        <v>67</v>
      </c>
      <c r="F15" s="226"/>
      <c r="G15" s="203" t="s">
        <v>34</v>
      </c>
      <c r="H15" s="185" t="s">
        <v>11</v>
      </c>
      <c r="I15" s="185" t="s">
        <v>14</v>
      </c>
      <c r="J15" s="185" t="s">
        <v>15</v>
      </c>
      <c r="K15" s="203" t="s">
        <v>16</v>
      </c>
      <c r="L15" s="208" t="s">
        <v>17</v>
      </c>
      <c r="M15" s="212" t="s">
        <v>18</v>
      </c>
      <c r="N15" s="204" t="s">
        <v>35</v>
      </c>
      <c r="O15" s="205"/>
      <c r="P15" s="83" t="s">
        <v>19</v>
      </c>
      <c r="Q15" s="203"/>
      <c r="R15" s="224"/>
    </row>
    <row r="16" spans="1:24" ht="82.9" customHeight="1" thickBot="1" x14ac:dyDescent="0.25">
      <c r="A16" s="215"/>
      <c r="B16" s="185"/>
      <c r="C16" s="185"/>
      <c r="D16" s="185"/>
      <c r="E16" s="203"/>
      <c r="F16" s="227"/>
      <c r="G16" s="203"/>
      <c r="H16" s="185"/>
      <c r="I16" s="185"/>
      <c r="J16" s="185"/>
      <c r="K16" s="203"/>
      <c r="L16" s="209"/>
      <c r="M16" s="213"/>
      <c r="N16" s="206"/>
      <c r="O16" s="207"/>
      <c r="P16" s="84"/>
      <c r="Q16" s="222"/>
      <c r="R16" s="224"/>
    </row>
    <row r="17" spans="1:18" ht="37.549999999999997" customHeight="1" thickBot="1" x14ac:dyDescent="0.25">
      <c r="A17" s="85"/>
      <c r="B17" s="86" t="s">
        <v>7</v>
      </c>
      <c r="C17" s="86" t="s">
        <v>7</v>
      </c>
      <c r="D17" s="86" t="s">
        <v>7</v>
      </c>
      <c r="E17" s="86" t="s">
        <v>7</v>
      </c>
      <c r="F17" s="87" t="s">
        <v>21</v>
      </c>
      <c r="G17" s="86" t="s">
        <v>7</v>
      </c>
      <c r="H17" s="86" t="s">
        <v>7</v>
      </c>
      <c r="I17" s="86" t="s">
        <v>7</v>
      </c>
      <c r="J17" s="86" t="s">
        <v>7</v>
      </c>
      <c r="K17" s="86" t="s">
        <v>7</v>
      </c>
      <c r="L17" s="86" t="s">
        <v>7</v>
      </c>
      <c r="M17" s="86" t="s">
        <v>7</v>
      </c>
      <c r="N17" s="86" t="s">
        <v>7</v>
      </c>
      <c r="O17" s="87" t="s">
        <v>22</v>
      </c>
      <c r="P17" s="88" t="s">
        <v>7</v>
      </c>
      <c r="Q17" s="89" t="s">
        <v>24</v>
      </c>
      <c r="R17" s="87" t="s">
        <v>25</v>
      </c>
    </row>
    <row r="18" spans="1:18" ht="19.55" customHeight="1" thickBot="1" x14ac:dyDescent="0.25">
      <c r="A18" s="90">
        <v>1</v>
      </c>
      <c r="B18" s="90">
        <v>2</v>
      </c>
      <c r="C18" s="90">
        <v>3</v>
      </c>
      <c r="D18" s="90">
        <v>4</v>
      </c>
      <c r="E18" s="90">
        <v>5</v>
      </c>
      <c r="F18" s="90">
        <v>6</v>
      </c>
      <c r="G18" s="90">
        <v>7</v>
      </c>
      <c r="H18" s="90">
        <v>8</v>
      </c>
      <c r="I18" s="90">
        <v>9</v>
      </c>
      <c r="J18" s="90">
        <v>10</v>
      </c>
      <c r="K18" s="90">
        <v>11</v>
      </c>
      <c r="L18" s="90">
        <v>12</v>
      </c>
      <c r="M18" s="90">
        <v>13</v>
      </c>
      <c r="N18" s="90">
        <v>14</v>
      </c>
      <c r="O18" s="90">
        <v>15</v>
      </c>
      <c r="P18" s="90">
        <v>16</v>
      </c>
      <c r="Q18" s="91">
        <v>17</v>
      </c>
      <c r="R18" s="92">
        <v>18</v>
      </c>
    </row>
    <row r="19" spans="1:18" ht="16.5" customHeight="1" x14ac:dyDescent="0.2">
      <c r="A19" s="98" t="s">
        <v>5</v>
      </c>
      <c r="B19" s="94"/>
      <c r="C19" s="94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6"/>
      <c r="R19" s="97"/>
    </row>
    <row r="20" spans="1:18" ht="39.4" thickBot="1" x14ac:dyDescent="0.25">
      <c r="A20" s="35" t="s">
        <v>62</v>
      </c>
      <c r="B20" s="71">
        <v>6096.82</v>
      </c>
      <c r="C20" s="71">
        <v>861.38</v>
      </c>
      <c r="D20" s="71">
        <v>11</v>
      </c>
      <c r="E20" s="72">
        <f>B20+C20+D20</f>
        <v>6969.2</v>
      </c>
      <c r="F20" s="73">
        <f>E20/Q20</f>
        <v>0.23643642285249017</v>
      </c>
      <c r="G20" s="71">
        <v>6849.78</v>
      </c>
      <c r="H20" s="71">
        <v>493.45</v>
      </c>
      <c r="I20" s="74">
        <v>309.87</v>
      </c>
      <c r="J20" s="71">
        <v>144</v>
      </c>
      <c r="K20" s="71">
        <v>103.58</v>
      </c>
      <c r="L20" s="74">
        <v>0</v>
      </c>
      <c r="M20" s="71">
        <v>808.64</v>
      </c>
      <c r="N20" s="71">
        <f>SUM(G20:M20)</f>
        <v>8709.32</v>
      </c>
      <c r="O20" s="73">
        <f>N20/Q20</f>
        <v>0.2954715700909214</v>
      </c>
      <c r="P20" s="71">
        <f>E20+N20</f>
        <v>15678.52</v>
      </c>
      <c r="Q20" s="75">
        <v>29476</v>
      </c>
      <c r="R20" s="76">
        <f>P20/Q20</f>
        <v>0.53190799294341162</v>
      </c>
    </row>
    <row r="21" spans="1:18" ht="14.3" thickBot="1" x14ac:dyDescent="0.25">
      <c r="A21" s="99" t="s">
        <v>6</v>
      </c>
      <c r="B21" s="22">
        <f>SUM(B20:B20)</f>
        <v>6096.82</v>
      </c>
      <c r="C21" s="22">
        <f>SUM(C20:C20)</f>
        <v>861.38</v>
      </c>
      <c r="D21" s="22">
        <f>SUM(D20:D20)</f>
        <v>11</v>
      </c>
      <c r="E21" s="22">
        <f>SUM(E20:E20)</f>
        <v>6969.2</v>
      </c>
      <c r="F21" s="23">
        <f>E21/Q21</f>
        <v>0.23643642285249017</v>
      </c>
      <c r="G21" s="22">
        <f t="shared" ref="G21:N21" si="0">SUM(G20:G20)</f>
        <v>6849.78</v>
      </c>
      <c r="H21" s="22">
        <f t="shared" si="0"/>
        <v>493.45</v>
      </c>
      <c r="I21" s="24">
        <f t="shared" si="0"/>
        <v>309.87</v>
      </c>
      <c r="J21" s="24">
        <f t="shared" si="0"/>
        <v>144</v>
      </c>
      <c r="K21" s="22">
        <f t="shared" si="0"/>
        <v>103.58</v>
      </c>
      <c r="L21" s="24">
        <f t="shared" si="0"/>
        <v>0</v>
      </c>
      <c r="M21" s="22">
        <f t="shared" si="0"/>
        <v>808.64</v>
      </c>
      <c r="N21" s="22">
        <f t="shared" si="0"/>
        <v>8709.32</v>
      </c>
      <c r="O21" s="23">
        <f>N21/Q21</f>
        <v>0.2954715700909214</v>
      </c>
      <c r="P21" s="25">
        <f>SUM(P20:P20)</f>
        <v>15678.52</v>
      </c>
      <c r="Q21" s="26">
        <f>SUM(Q20:Q20)</f>
        <v>29476</v>
      </c>
      <c r="R21" s="27">
        <f>SUM(R20:R20)</f>
        <v>0.53190799294341162</v>
      </c>
    </row>
    <row r="22" spans="1:18" ht="14.95" x14ac:dyDescent="0.2">
      <c r="A22" s="28"/>
    </row>
    <row r="23" spans="1:18" ht="14.95" x14ac:dyDescent="0.2">
      <c r="A23" s="28" t="s">
        <v>36</v>
      </c>
    </row>
    <row r="24" spans="1:18" ht="14.95" x14ac:dyDescent="0.2">
      <c r="A24" s="28" t="s">
        <v>37</v>
      </c>
    </row>
    <row r="25" spans="1:18" ht="14.95" x14ac:dyDescent="0.2">
      <c r="A25" s="28" t="s">
        <v>38</v>
      </c>
    </row>
    <row r="26" spans="1:18" ht="14.95" x14ac:dyDescent="0.2">
      <c r="A26" s="28" t="s">
        <v>39</v>
      </c>
    </row>
    <row r="27" spans="1:18" ht="14.95" x14ac:dyDescent="0.2">
      <c r="A27" s="28" t="s">
        <v>40</v>
      </c>
    </row>
    <row r="28" spans="1:18" ht="14.95" x14ac:dyDescent="0.2">
      <c r="A28" s="28"/>
    </row>
    <row r="30" spans="1:18" ht="15.65" x14ac:dyDescent="0.2">
      <c r="A30" s="169"/>
      <c r="B30" s="229"/>
      <c r="C30" s="229"/>
    </row>
    <row r="31" spans="1:18" ht="15.65" x14ac:dyDescent="0.2">
      <c r="A31" s="169"/>
      <c r="B31" s="169"/>
      <c r="C31" s="169"/>
    </row>
    <row r="32" spans="1:18" ht="15.65" x14ac:dyDescent="0.2">
      <c r="A32" s="169"/>
      <c r="B32" s="169"/>
      <c r="C32" s="169"/>
    </row>
    <row r="33" spans="1:3" ht="15.65" x14ac:dyDescent="0.2">
      <c r="A33" s="169"/>
      <c r="B33" s="229"/>
      <c r="C33" s="229"/>
    </row>
  </sheetData>
  <mergeCells count="25">
    <mergeCell ref="H15:H16"/>
    <mergeCell ref="O6:S6"/>
    <mergeCell ref="I15:I16"/>
    <mergeCell ref="J15:J16"/>
    <mergeCell ref="Q14:Q16"/>
    <mergeCell ref="G14:O14"/>
    <mergeCell ref="L15:L16"/>
    <mergeCell ref="M15:M16"/>
    <mergeCell ref="N15:O16"/>
    <mergeCell ref="B30:C30"/>
    <mergeCell ref="B33:C33"/>
    <mergeCell ref="O4:R4"/>
    <mergeCell ref="O5:R5"/>
    <mergeCell ref="A1:U1"/>
    <mergeCell ref="A14:A16"/>
    <mergeCell ref="B14:F14"/>
    <mergeCell ref="K15:K16"/>
    <mergeCell ref="A11:R11"/>
    <mergeCell ref="A9:R9"/>
    <mergeCell ref="R14:R16"/>
    <mergeCell ref="B15:B16"/>
    <mergeCell ref="C15:C16"/>
    <mergeCell ref="D15:D16"/>
    <mergeCell ref="E15:F16"/>
    <mergeCell ref="G15:G16"/>
  </mergeCells>
  <pageMargins left="0.78740157480314965" right="0.78740157480314965" top="0.39370078740157483" bottom="0.3937007874015748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view="pageBreakPreview" topLeftCell="A9" zoomScale="82" zoomScaleNormal="82" zoomScaleSheetLayoutView="82" workbookViewId="0">
      <selection activeCell="O10" sqref="O10"/>
    </sheetView>
  </sheetViews>
  <sheetFormatPr defaultColWidth="8.875" defaultRowHeight="14.3" x14ac:dyDescent="0.25"/>
  <cols>
    <col min="1" max="1" width="42.25" customWidth="1"/>
    <col min="2" max="2" width="13" customWidth="1"/>
    <col min="3" max="3" width="14.25" customWidth="1"/>
    <col min="4" max="4" width="12.25" customWidth="1"/>
    <col min="5" max="5" width="10.75" customWidth="1"/>
    <col min="6" max="6" width="9" bestFit="1" customWidth="1"/>
    <col min="7" max="7" width="10.25" customWidth="1"/>
    <col min="8" max="8" width="10.375" customWidth="1"/>
    <col min="9" max="9" width="11.375" customWidth="1"/>
    <col min="10" max="11" width="14.25" customWidth="1"/>
    <col min="12" max="12" width="13" customWidth="1"/>
    <col min="13" max="13" width="12.75" customWidth="1"/>
    <col min="14" max="14" width="11.25" customWidth="1"/>
    <col min="15" max="15" width="10.75" customWidth="1"/>
    <col min="16" max="16" width="14.375" customWidth="1"/>
    <col min="17" max="17" width="14.125" customWidth="1"/>
    <col min="18" max="18" width="17.25" customWidth="1"/>
    <col min="19" max="19" width="0.125" customWidth="1"/>
    <col min="20" max="20" width="8.875" hidden="1" customWidth="1"/>
  </cols>
  <sheetData>
    <row r="1" spans="1:20" ht="15.8" hidden="1" customHeight="1" x14ac:dyDescent="0.3">
      <c r="A1" s="230" t="s">
        <v>74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136"/>
      <c r="T1" s="136"/>
    </row>
    <row r="2" spans="1:20" s="136" customFormat="1" ht="15.8" hidden="1" customHeight="1" x14ac:dyDescent="0.3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20" s="136" customFormat="1" ht="18" customHeight="1" x14ac:dyDescent="0.3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67" t="s">
        <v>105</v>
      </c>
      <c r="Q3" s="167"/>
      <c r="R3" s="167"/>
      <c r="S3" s="167"/>
      <c r="T3" s="168"/>
    </row>
    <row r="4" spans="1:20" s="136" customFormat="1" ht="18" customHeight="1" x14ac:dyDescent="0.3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245" t="s">
        <v>106</v>
      </c>
      <c r="Q4" s="245"/>
      <c r="R4" s="245"/>
      <c r="S4" s="245"/>
      <c r="T4" s="168"/>
    </row>
    <row r="5" spans="1:20" s="136" customFormat="1" ht="18" customHeight="1" x14ac:dyDescent="0.3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245" t="s">
        <v>66</v>
      </c>
      <c r="Q5" s="245"/>
      <c r="R5" s="245"/>
      <c r="S5" s="245"/>
      <c r="T5" s="168"/>
    </row>
    <row r="6" spans="1:20" s="136" customFormat="1" ht="18" customHeight="1" x14ac:dyDescent="0.3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246" t="s">
        <v>91</v>
      </c>
      <c r="Q6" s="246"/>
      <c r="R6" s="246"/>
      <c r="S6" s="246"/>
      <c r="T6" s="246"/>
    </row>
    <row r="7" spans="1:20" s="136" customFormat="1" ht="18" customHeight="1" x14ac:dyDescent="0.3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67"/>
      <c r="Q7" s="167"/>
      <c r="R7" s="167"/>
      <c r="S7" s="167"/>
      <c r="T7" s="167"/>
    </row>
    <row r="8" spans="1:20" s="136" customFormat="1" ht="21.1" customHeight="1" x14ac:dyDescent="0.3">
      <c r="A8" s="171" t="s">
        <v>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</row>
    <row r="9" spans="1:20" s="136" customFormat="1" ht="41.95" customHeight="1" x14ac:dyDescent="0.3">
      <c r="A9" s="232" t="s">
        <v>96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</row>
    <row r="10" spans="1:20" s="136" customFormat="1" ht="16.3" x14ac:dyDescent="0.3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20" s="136" customFormat="1" ht="45.2" customHeight="1" thickBot="1" x14ac:dyDescent="0.35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20" s="136" customFormat="1" ht="49.6" customHeight="1" thickBot="1" x14ac:dyDescent="0.35">
      <c r="A12" s="233" t="s">
        <v>0</v>
      </c>
      <c r="B12" s="235" t="s">
        <v>12</v>
      </c>
      <c r="C12" s="236"/>
      <c r="D12" s="236"/>
      <c r="E12" s="236"/>
      <c r="F12" s="236"/>
      <c r="G12" s="237" t="s">
        <v>13</v>
      </c>
      <c r="H12" s="238"/>
      <c r="I12" s="238"/>
      <c r="J12" s="238"/>
      <c r="K12" s="238"/>
      <c r="L12" s="238"/>
      <c r="M12" s="238"/>
      <c r="N12" s="238"/>
      <c r="O12" s="239"/>
      <c r="P12" s="249" t="s">
        <v>90</v>
      </c>
      <c r="Q12" s="240" t="s">
        <v>2</v>
      </c>
      <c r="R12" s="242" t="s">
        <v>75</v>
      </c>
    </row>
    <row r="13" spans="1:20" s="136" customFormat="1" ht="16.5" hidden="1" customHeight="1" thickBot="1" x14ac:dyDescent="0.35">
      <c r="A13" s="234"/>
      <c r="B13" s="233" t="s">
        <v>76</v>
      </c>
      <c r="C13" s="233" t="s">
        <v>3</v>
      </c>
      <c r="D13" s="233" t="s">
        <v>4</v>
      </c>
      <c r="E13" s="240" t="s">
        <v>77</v>
      </c>
      <c r="F13" s="252"/>
      <c r="G13" s="234" t="s">
        <v>78</v>
      </c>
      <c r="H13" s="241" t="s">
        <v>11</v>
      </c>
      <c r="I13" s="234" t="s">
        <v>14</v>
      </c>
      <c r="J13" s="234" t="s">
        <v>79</v>
      </c>
      <c r="K13" s="234" t="s">
        <v>16</v>
      </c>
      <c r="L13" s="234" t="s">
        <v>17</v>
      </c>
      <c r="M13" s="241" t="s">
        <v>80</v>
      </c>
      <c r="N13" s="255" t="s">
        <v>81</v>
      </c>
      <c r="O13" s="256"/>
      <c r="P13" s="250"/>
      <c r="Q13" s="241"/>
      <c r="R13" s="243"/>
    </row>
    <row r="14" spans="1:20" s="136" customFormat="1" ht="136.19999999999999" customHeight="1" thickBot="1" x14ac:dyDescent="0.35">
      <c r="A14" s="234"/>
      <c r="B14" s="234"/>
      <c r="C14" s="234"/>
      <c r="D14" s="234"/>
      <c r="E14" s="241"/>
      <c r="F14" s="253"/>
      <c r="G14" s="234"/>
      <c r="H14" s="241"/>
      <c r="I14" s="254"/>
      <c r="J14" s="254"/>
      <c r="K14" s="234"/>
      <c r="L14" s="234"/>
      <c r="M14" s="241"/>
      <c r="N14" s="257"/>
      <c r="O14" s="258"/>
      <c r="P14" s="251"/>
      <c r="Q14" s="241"/>
      <c r="R14" s="244"/>
    </row>
    <row r="15" spans="1:20" s="136" customFormat="1" ht="34.5" customHeight="1" thickBot="1" x14ac:dyDescent="0.35">
      <c r="A15" s="138"/>
      <c r="B15" s="139" t="s">
        <v>7</v>
      </c>
      <c r="C15" s="139" t="s">
        <v>7</v>
      </c>
      <c r="D15" s="139" t="s">
        <v>7</v>
      </c>
      <c r="E15" s="139" t="s">
        <v>7</v>
      </c>
      <c r="F15" s="140" t="s">
        <v>27</v>
      </c>
      <c r="G15" s="139" t="s">
        <v>7</v>
      </c>
      <c r="H15" s="139" t="s">
        <v>7</v>
      </c>
      <c r="I15" s="139" t="s">
        <v>7</v>
      </c>
      <c r="J15" s="139" t="s">
        <v>7</v>
      </c>
      <c r="K15" s="139" t="s">
        <v>7</v>
      </c>
      <c r="L15" s="139" t="s">
        <v>7</v>
      </c>
      <c r="M15" s="139" t="s">
        <v>7</v>
      </c>
      <c r="N15" s="139" t="s">
        <v>7</v>
      </c>
      <c r="O15" s="140" t="s">
        <v>28</v>
      </c>
      <c r="P15" s="139" t="s">
        <v>7</v>
      </c>
      <c r="Q15" s="141" t="s">
        <v>82</v>
      </c>
      <c r="R15" s="142" t="s">
        <v>83</v>
      </c>
    </row>
    <row r="16" spans="1:20" s="136" customFormat="1" ht="18" customHeight="1" thickBot="1" x14ac:dyDescent="0.35">
      <c r="A16" s="143">
        <v>1</v>
      </c>
      <c r="B16" s="143">
        <v>2</v>
      </c>
      <c r="C16" s="143">
        <v>3</v>
      </c>
      <c r="D16" s="143">
        <v>4</v>
      </c>
      <c r="E16" s="143">
        <v>5</v>
      </c>
      <c r="F16" s="143">
        <v>6</v>
      </c>
      <c r="G16" s="143">
        <v>7</v>
      </c>
      <c r="H16" s="143">
        <v>8</v>
      </c>
      <c r="I16" s="143">
        <v>9</v>
      </c>
      <c r="J16" s="143">
        <v>10</v>
      </c>
      <c r="K16" s="143">
        <v>11</v>
      </c>
      <c r="L16" s="143">
        <v>12</v>
      </c>
      <c r="M16" s="143">
        <v>13</v>
      </c>
      <c r="N16" s="143">
        <v>14</v>
      </c>
      <c r="O16" s="143">
        <v>15</v>
      </c>
      <c r="P16" s="143">
        <v>16</v>
      </c>
      <c r="Q16" s="143">
        <v>17</v>
      </c>
      <c r="R16" s="144">
        <v>18</v>
      </c>
    </row>
    <row r="17" spans="1:20" s="136" customFormat="1" ht="23.95" customHeight="1" x14ac:dyDescent="0.3">
      <c r="A17" s="145" t="s">
        <v>5</v>
      </c>
      <c r="B17" s="146"/>
      <c r="C17" s="146"/>
      <c r="D17" s="146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</row>
    <row r="18" spans="1:20" s="136" customFormat="1" ht="62.35" customHeight="1" x14ac:dyDescent="0.3">
      <c r="A18" s="148" t="s">
        <v>97</v>
      </c>
      <c r="B18" s="149">
        <v>1164</v>
      </c>
      <c r="C18" s="150">
        <v>0</v>
      </c>
      <c r="D18" s="149">
        <v>0</v>
      </c>
      <c r="E18" s="151">
        <v>1164</v>
      </c>
      <c r="F18" s="152">
        <v>77.599999999999994</v>
      </c>
      <c r="G18" s="153">
        <v>0</v>
      </c>
      <c r="H18" s="149">
        <v>20.329999999999998</v>
      </c>
      <c r="I18" s="149">
        <v>0</v>
      </c>
      <c r="J18" s="149">
        <v>0</v>
      </c>
      <c r="K18" s="149">
        <v>1.6</v>
      </c>
      <c r="L18" s="149">
        <v>0</v>
      </c>
      <c r="M18" s="149">
        <v>2.93</v>
      </c>
      <c r="N18" s="150">
        <v>24.86</v>
      </c>
      <c r="O18" s="154">
        <v>1.6573333333333333</v>
      </c>
      <c r="P18" s="149">
        <v>1188.8599999999999</v>
      </c>
      <c r="Q18" s="155">
        <v>15</v>
      </c>
      <c r="R18" s="149">
        <v>79.257333333333321</v>
      </c>
    </row>
    <row r="19" spans="1:20" s="136" customFormat="1" ht="62.35" customHeight="1" x14ac:dyDescent="0.3">
      <c r="A19" s="156" t="s">
        <v>98</v>
      </c>
      <c r="B19" s="149">
        <v>7528</v>
      </c>
      <c r="C19" s="149">
        <v>0</v>
      </c>
      <c r="D19" s="149">
        <v>296.66000000000003</v>
      </c>
      <c r="E19" s="151">
        <v>7824.66</v>
      </c>
      <c r="F19" s="152">
        <v>144.90111111111111</v>
      </c>
      <c r="G19" s="153">
        <v>8139.73</v>
      </c>
      <c r="H19" s="149">
        <v>1244.0999999999999</v>
      </c>
      <c r="I19" s="149">
        <v>1.72</v>
      </c>
      <c r="J19" s="149">
        <v>0</v>
      </c>
      <c r="K19" s="149">
        <v>8.8000000000000007</v>
      </c>
      <c r="L19" s="149">
        <v>0</v>
      </c>
      <c r="M19" s="149">
        <v>367.76</v>
      </c>
      <c r="N19" s="150">
        <v>9762.1099999999988</v>
      </c>
      <c r="O19" s="154">
        <v>180.77981481481478</v>
      </c>
      <c r="P19" s="149">
        <v>17586.769999999997</v>
      </c>
      <c r="Q19" s="155">
        <v>54</v>
      </c>
      <c r="R19" s="149">
        <v>325.68092592592586</v>
      </c>
    </row>
    <row r="20" spans="1:20" s="136" customFormat="1" ht="62.35" customHeight="1" x14ac:dyDescent="0.3">
      <c r="A20" s="156" t="s">
        <v>99</v>
      </c>
      <c r="B20" s="149">
        <v>802.7</v>
      </c>
      <c r="C20" s="149">
        <v>0</v>
      </c>
      <c r="D20" s="149">
        <v>22.776</v>
      </c>
      <c r="E20" s="151">
        <v>825.476</v>
      </c>
      <c r="F20" s="152">
        <v>9.2718858811636523E-2</v>
      </c>
      <c r="G20" s="153">
        <v>0</v>
      </c>
      <c r="H20" s="149">
        <v>39.103999999999999</v>
      </c>
      <c r="I20" s="149">
        <v>0</v>
      </c>
      <c r="J20" s="149">
        <v>0</v>
      </c>
      <c r="K20" s="149">
        <v>10</v>
      </c>
      <c r="L20" s="149">
        <v>0</v>
      </c>
      <c r="M20" s="149">
        <v>2.400096</v>
      </c>
      <c r="N20" s="150">
        <v>51.504095999999997</v>
      </c>
      <c r="O20" s="152">
        <v>5.7850270695271253E-3</v>
      </c>
      <c r="P20" s="149">
        <v>876.980096</v>
      </c>
      <c r="Q20" s="155">
        <v>8903</v>
      </c>
      <c r="R20" s="149">
        <v>9.8503885881163655E-2</v>
      </c>
    </row>
    <row r="21" spans="1:20" s="136" customFormat="1" ht="62.35" customHeight="1" x14ac:dyDescent="0.3">
      <c r="A21" s="156" t="s">
        <v>100</v>
      </c>
      <c r="B21" s="149">
        <v>802.7</v>
      </c>
      <c r="C21" s="149">
        <v>0</v>
      </c>
      <c r="D21" s="149">
        <v>22.776</v>
      </c>
      <c r="E21" s="151">
        <v>825.476</v>
      </c>
      <c r="F21" s="152">
        <v>9.2718858811636523E-2</v>
      </c>
      <c r="G21" s="153">
        <v>0</v>
      </c>
      <c r="H21" s="149">
        <v>39.103999999999999</v>
      </c>
      <c r="I21" s="149">
        <v>0</v>
      </c>
      <c r="J21" s="149">
        <v>0</v>
      </c>
      <c r="K21" s="149">
        <v>10</v>
      </c>
      <c r="L21" s="149">
        <v>0</v>
      </c>
      <c r="M21" s="149">
        <v>2.400096</v>
      </c>
      <c r="N21" s="150">
        <v>51.504095999999997</v>
      </c>
      <c r="O21" s="152">
        <v>5.7850270695271253E-3</v>
      </c>
      <c r="P21" s="149">
        <v>876.980096</v>
      </c>
      <c r="Q21" s="155">
        <v>8903</v>
      </c>
      <c r="R21" s="149">
        <v>9.8503885881163655E-2</v>
      </c>
      <c r="S21" s="157"/>
      <c r="T21" s="157"/>
    </row>
    <row r="22" spans="1:20" s="136" customFormat="1" ht="62.35" customHeight="1" x14ac:dyDescent="0.3">
      <c r="A22" s="156" t="s">
        <v>101</v>
      </c>
      <c r="B22" s="149">
        <v>2752.51</v>
      </c>
      <c r="C22" s="149">
        <v>383</v>
      </c>
      <c r="D22" s="149">
        <v>832</v>
      </c>
      <c r="E22" s="151">
        <v>3967.51</v>
      </c>
      <c r="F22" s="152">
        <v>0.47515089820359285</v>
      </c>
      <c r="G22" s="153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49">
        <v>0</v>
      </c>
      <c r="N22" s="149">
        <v>0</v>
      </c>
      <c r="O22" s="152">
        <v>0</v>
      </c>
      <c r="P22" s="149">
        <v>3967.51</v>
      </c>
      <c r="Q22" s="155">
        <v>8350</v>
      </c>
      <c r="R22" s="149">
        <v>0.47515089820359285</v>
      </c>
      <c r="S22" s="157"/>
      <c r="T22" s="157"/>
    </row>
    <row r="23" spans="1:20" s="136" customFormat="1" ht="89.35" customHeight="1" x14ac:dyDescent="0.3">
      <c r="A23" s="156" t="s">
        <v>102</v>
      </c>
      <c r="B23" s="149">
        <v>802.7</v>
      </c>
      <c r="C23" s="149">
        <v>0</v>
      </c>
      <c r="D23" s="149">
        <v>24.83</v>
      </c>
      <c r="E23" s="151">
        <v>827.53000000000009</v>
      </c>
      <c r="F23" s="152">
        <v>5.5205470313542365E-2</v>
      </c>
      <c r="G23" s="153">
        <v>0</v>
      </c>
      <c r="H23" s="149">
        <v>19.100000000000001</v>
      </c>
      <c r="I23" s="149">
        <v>13.89</v>
      </c>
      <c r="J23" s="149">
        <v>0</v>
      </c>
      <c r="K23" s="149">
        <v>10.199999999999999</v>
      </c>
      <c r="L23" s="149">
        <v>0</v>
      </c>
      <c r="M23" s="149">
        <v>26.72</v>
      </c>
      <c r="N23" s="150">
        <v>69.91</v>
      </c>
      <c r="O23" s="152">
        <v>4.6637758505670441E-3</v>
      </c>
      <c r="P23" s="149">
        <v>897.44</v>
      </c>
      <c r="Q23" s="155">
        <v>14990</v>
      </c>
      <c r="R23" s="149">
        <v>5.9869246164109408E-2</v>
      </c>
      <c r="S23" s="157"/>
      <c r="T23" s="157"/>
    </row>
    <row r="24" spans="1:20" s="136" customFormat="1" ht="73.55" customHeight="1" x14ac:dyDescent="0.3">
      <c r="A24" s="158" t="s">
        <v>103</v>
      </c>
      <c r="B24" s="159">
        <v>802.7</v>
      </c>
      <c r="C24" s="160">
        <v>0</v>
      </c>
      <c r="D24" s="149">
        <v>24.83</v>
      </c>
      <c r="E24" s="151">
        <v>827.53000000000009</v>
      </c>
      <c r="F24" s="152">
        <v>2.7584333333333335</v>
      </c>
      <c r="G24" s="161">
        <v>0</v>
      </c>
      <c r="H24" s="160">
        <v>19.100000000000001</v>
      </c>
      <c r="I24" s="160">
        <v>13.89</v>
      </c>
      <c r="J24" s="160">
        <v>0</v>
      </c>
      <c r="K24" s="160">
        <v>10.199999999999999</v>
      </c>
      <c r="L24" s="149">
        <v>0</v>
      </c>
      <c r="M24" s="160">
        <v>26.72</v>
      </c>
      <c r="N24" s="150">
        <v>69.91</v>
      </c>
      <c r="O24" s="154">
        <v>0.23303333333333331</v>
      </c>
      <c r="P24" s="149">
        <v>897.44</v>
      </c>
      <c r="Q24" s="162">
        <v>300</v>
      </c>
      <c r="R24" s="149">
        <v>2.9914666666666667</v>
      </c>
      <c r="S24" s="157"/>
      <c r="T24" s="157"/>
    </row>
    <row r="25" spans="1:20" s="136" customFormat="1" ht="17" thickBot="1" x14ac:dyDescent="0.35">
      <c r="A25" s="163" t="s">
        <v>84</v>
      </c>
      <c r="B25" s="164">
        <f>SUM(B18:B24)</f>
        <v>14655.310000000003</v>
      </c>
      <c r="C25" s="164">
        <f t="shared" ref="C25:F25" si="0">SUM(C18:C24)</f>
        <v>383</v>
      </c>
      <c r="D25" s="164">
        <f t="shared" si="0"/>
        <v>1223.8719999999998</v>
      </c>
      <c r="E25" s="164">
        <f t="shared" si="0"/>
        <v>16262.182000000003</v>
      </c>
      <c r="F25" s="164">
        <f t="shared" si="0"/>
        <v>225.97533853058482</v>
      </c>
      <c r="G25" s="164">
        <f>SUM(G18:G24)</f>
        <v>8139.73</v>
      </c>
      <c r="H25" s="164">
        <f t="shared" ref="H25:O25" si="1">SUM(H18:H24)</f>
        <v>1380.8379999999997</v>
      </c>
      <c r="I25" s="164">
        <f t="shared" si="1"/>
        <v>29.5</v>
      </c>
      <c r="J25" s="164">
        <f t="shared" si="1"/>
        <v>0</v>
      </c>
      <c r="K25" s="164">
        <f t="shared" si="1"/>
        <v>50.8</v>
      </c>
      <c r="L25" s="164">
        <f t="shared" si="1"/>
        <v>0</v>
      </c>
      <c r="M25" s="164">
        <f t="shared" si="1"/>
        <v>428.93019200000003</v>
      </c>
      <c r="N25" s="164">
        <f t="shared" si="1"/>
        <v>10029.798192</v>
      </c>
      <c r="O25" s="164">
        <f t="shared" si="1"/>
        <v>182.68641531147105</v>
      </c>
      <c r="P25" s="164">
        <f>SUM(P18:P24)</f>
        <v>26291.980191999995</v>
      </c>
      <c r="Q25" s="164">
        <f>SUM(Q18:Q24)</f>
        <v>41515</v>
      </c>
      <c r="R25" s="164">
        <f>SUM(R18:R24)</f>
        <v>408.66175384205587</v>
      </c>
      <c r="S25" s="157"/>
      <c r="T25" s="157"/>
    </row>
    <row r="26" spans="1:20" s="136" customFormat="1" ht="19.05" x14ac:dyDescent="0.3">
      <c r="A26" s="165" t="s">
        <v>85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57"/>
      <c r="T26" s="157"/>
    </row>
    <row r="27" spans="1:20" s="136" customFormat="1" ht="42.65" customHeight="1" x14ac:dyDescent="0.3">
      <c r="A27" s="165" t="s">
        <v>86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</row>
    <row r="28" spans="1:20" s="136" customFormat="1" ht="19.05" x14ac:dyDescent="0.3">
      <c r="A28" s="165" t="s">
        <v>87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20" s="136" customFormat="1" ht="19.05" x14ac:dyDescent="0.3">
      <c r="A29" s="165" t="s">
        <v>88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1:20" s="136" customFormat="1" ht="19.05" x14ac:dyDescent="0.3">
      <c r="A30" s="165" t="s">
        <v>89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20" s="136" customFormat="1" ht="16.3" x14ac:dyDescent="0.3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20" s="136" customFormat="1" ht="16.3" x14ac:dyDescent="0.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="247" customFormat="1" ht="27" customHeight="1" x14ac:dyDescent="0.3"/>
    <row r="34" s="247" customFormat="1" ht="46.55" hidden="1" customHeight="1" x14ac:dyDescent="0.3"/>
    <row r="35" s="248" customFormat="1" ht="16.3" hidden="1" x14ac:dyDescent="0.3"/>
    <row r="36" s="136" customFormat="1" ht="16.3" x14ac:dyDescent="0.3"/>
  </sheetData>
  <mergeCells count="27">
    <mergeCell ref="A33:XFD33"/>
    <mergeCell ref="A34:XFD34"/>
    <mergeCell ref="A35:XFD35"/>
    <mergeCell ref="P12:P14"/>
    <mergeCell ref="E13:F14"/>
    <mergeCell ref="G13:G14"/>
    <mergeCell ref="H13:H14"/>
    <mergeCell ref="I13:I14"/>
    <mergeCell ref="J13:J14"/>
    <mergeCell ref="K13:K14"/>
    <mergeCell ref="L13:L14"/>
    <mergeCell ref="M13:M14"/>
    <mergeCell ref="N13:O14"/>
    <mergeCell ref="A1:R1"/>
    <mergeCell ref="A9:R9"/>
    <mergeCell ref="A12:A14"/>
    <mergeCell ref="B12:F12"/>
    <mergeCell ref="G12:O12"/>
    <mergeCell ref="Q12:Q14"/>
    <mergeCell ref="R12:R14"/>
    <mergeCell ref="B13:B14"/>
    <mergeCell ref="C13:C14"/>
    <mergeCell ref="D13:D14"/>
    <mergeCell ref="P4:S4"/>
    <mergeCell ref="P5:S5"/>
    <mergeCell ref="P6:T6"/>
    <mergeCell ref="A8:R8"/>
  </mergeCells>
  <pageMargins left="0.78740157480314965" right="3.937007874015748E-2" top="0.55118110236220474" bottom="0.55118110236220474" header="0.11811023622047245" footer="0.11811023622047245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1</vt:lpstr>
      <vt:lpstr>Приложение 2 АЛЕНУШКА</vt:lpstr>
      <vt:lpstr>Приложение 4 ДШИ </vt:lpstr>
      <vt:lpstr>Приложение 5 ДЮСШ</vt:lpstr>
      <vt:lpstr>Приложение 6 СЮТ</vt:lpstr>
      <vt:lpstr>Приложение 7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2023-10-02T09:34:07Z</dcterms:modified>
</cp:coreProperties>
</file>