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311" tabRatio="706"/>
  </bookViews>
  <sheets>
    <sheet name="01.09.2023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8" l="1"/>
  <c r="M22" i="8"/>
  <c r="M21" i="8"/>
  <c r="M20" i="8"/>
  <c r="M19" i="8"/>
  <c r="M18" i="8"/>
  <c r="K23" i="8"/>
  <c r="K22" i="8"/>
  <c r="K21" i="8"/>
  <c r="K20" i="8"/>
  <c r="K19" i="8"/>
  <c r="K18" i="8"/>
  <c r="J23" i="8"/>
  <c r="J22" i="8"/>
  <c r="J21" i="8"/>
  <c r="J20" i="8"/>
  <c r="J19" i="8"/>
  <c r="J18" i="8"/>
  <c r="H23" i="8"/>
  <c r="H22" i="8"/>
  <c r="H21" i="8"/>
  <c r="H20" i="8"/>
  <c r="H19" i="8"/>
  <c r="H18" i="8"/>
  <c r="G23" i="8"/>
  <c r="G22" i="8"/>
  <c r="G21" i="8"/>
  <c r="G20" i="8"/>
  <c r="G19" i="8"/>
  <c r="G18" i="8"/>
  <c r="D23" i="8"/>
  <c r="D22" i="8"/>
  <c r="D21" i="8"/>
  <c r="D20" i="8"/>
  <c r="D19" i="8"/>
  <c r="D18" i="8"/>
  <c r="C23" i="8"/>
  <c r="C22" i="8"/>
  <c r="C21" i="8"/>
  <c r="C20" i="8"/>
  <c r="C19" i="8"/>
  <c r="C18" i="8"/>
  <c r="B23" i="8"/>
  <c r="B22" i="8"/>
  <c r="B21" i="8"/>
  <c r="B20" i="8"/>
  <c r="B19" i="8"/>
  <c r="B18" i="8"/>
  <c r="N18" i="8" l="1"/>
  <c r="N23" i="8" l="1"/>
  <c r="O23" i="8" s="1"/>
  <c r="E23" i="8"/>
  <c r="N22" i="8"/>
  <c r="O22" i="8" s="1"/>
  <c r="E22" i="8"/>
  <c r="P23" i="8" l="1"/>
  <c r="R23" i="8" s="1"/>
  <c r="F23" i="8"/>
  <c r="P22" i="8"/>
  <c r="R22" i="8" s="1"/>
  <c r="F22" i="8"/>
  <c r="N19" i="8" l="1"/>
  <c r="O19" i="8" s="1"/>
  <c r="N21" i="8"/>
  <c r="O21" i="8" s="1"/>
  <c r="Q25" i="8"/>
  <c r="L25" i="8"/>
  <c r="J25" i="8"/>
  <c r="I25" i="8"/>
  <c r="N24" i="8"/>
  <c r="O24" i="8" s="1"/>
  <c r="E24" i="8"/>
  <c r="F24" i="8" s="1"/>
  <c r="E21" i="8"/>
  <c r="E20" i="8"/>
  <c r="K25" i="8"/>
  <c r="C25" i="8"/>
  <c r="E19" i="8"/>
  <c r="M25" i="8"/>
  <c r="E18" i="8"/>
  <c r="O18" i="8" l="1"/>
  <c r="N20" i="8"/>
  <c r="O20" i="8" s="1"/>
  <c r="P24" i="8"/>
  <c r="R24" i="8" s="1"/>
  <c r="E25" i="8"/>
  <c r="F25" i="8" s="1"/>
  <c r="P18" i="8"/>
  <c r="F18" i="8"/>
  <c r="F20" i="8"/>
  <c r="F19" i="8"/>
  <c r="P19" i="8"/>
  <c r="R19" i="8" s="1"/>
  <c r="P21" i="8"/>
  <c r="R21" i="8" s="1"/>
  <c r="F21" i="8"/>
  <c r="G25" i="8"/>
  <c r="D25" i="8"/>
  <c r="H25" i="8"/>
  <c r="B25" i="8"/>
  <c r="N25" i="8" l="1"/>
  <c r="O25" i="8" s="1"/>
  <c r="P20" i="8"/>
  <c r="R20" i="8" s="1"/>
  <c r="R18" i="8"/>
  <c r="P25" i="8" l="1"/>
  <c r="R25" i="8" s="1"/>
</calcChain>
</file>

<file path=xl/sharedStrings.xml><?xml version="1.0" encoding="utf-8"?>
<sst xmlns="http://schemas.openxmlformats.org/spreadsheetml/2006/main" count="57" uniqueCount="45">
  <si>
    <t>Наименование муниципальной услуги</t>
  </si>
  <si>
    <t>Итого затраты учреждения на оказание муниципальных услуг</t>
  </si>
  <si>
    <t>Объем муниципальных услуг</t>
  </si>
  <si>
    <r>
      <t>Затраты на оплату труда и начисления на выплаты по оплате труда</t>
    </r>
    <r>
      <rPr>
        <vertAlign val="superscript"/>
        <sz val="10"/>
        <color theme="1"/>
        <rFont val="Times New Roman"/>
        <family val="1"/>
        <charset val="204"/>
      </rPr>
      <t>1</t>
    </r>
  </si>
  <si>
    <t>Затраты на приобретение расходных материалов, материальных запасов</t>
  </si>
  <si>
    <t>Прочие расходы, непосредственно связанные с оказанием услуги</t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</si>
  <si>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</t>
    </r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</si>
  <si>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4</t>
    </r>
  </si>
  <si>
    <t xml:space="preserve">Очередной финансовый год </t>
  </si>
  <si>
    <t>ИТОГО</t>
  </si>
  <si>
    <t>тыс.руб.</t>
  </si>
  <si>
    <r>
      <t>1.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Times New Roman"/>
        <family val="1"/>
        <charset val="204"/>
      </rPr>
      <t>.</t>
    </r>
  </si>
  <si>
    <r>
      <t>2.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 5 = гр.2+гр.3+гр.4</t>
    </r>
  </si>
  <si>
    <r>
      <t>3.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персоналу  не занятому непосредственно в процессе оказания муниципальных услуг.</t>
    </r>
  </si>
  <si>
    <t xml:space="preserve">                  </t>
  </si>
  <si>
    <t>Коммунальные услуги</t>
  </si>
  <si>
    <t>Базовые нормативные затраты, непосредственно связанные с оказанием муниципальной услуги</t>
  </si>
  <si>
    <t>Базовые затраты на общехозяйственные нужды  на оказание муниципальной услуги</t>
  </si>
  <si>
    <r>
      <t>Оплата труда с начисленими на выплаты по оплате труда</t>
    </r>
    <r>
      <rPr>
        <vertAlign val="superscript"/>
        <sz val="10"/>
        <color theme="1"/>
        <rFont val="Times New Roman"/>
        <family val="1"/>
        <charset val="204"/>
      </rPr>
      <t>3</t>
    </r>
  </si>
  <si>
    <t>Содержание объектов недвижимого имущества</t>
  </si>
  <si>
    <t>Содержание объектов особо ценного движимого имущества</t>
  </si>
  <si>
    <t>Приобретение услуг связи</t>
  </si>
  <si>
    <t>Приобретение транспортных услуг</t>
  </si>
  <si>
    <t>Прочие 
общехозяйственные нужды</t>
  </si>
  <si>
    <r>
      <t>4.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 14 = гр.7+гр.8+гр.9+гр.10+гр.11+гр.12+гр.13</t>
    </r>
  </si>
  <si>
    <t>(гр.5+гр.14)</t>
  </si>
  <si>
    <r>
      <t>5.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Гр.16/гр.17.</t>
    </r>
  </si>
  <si>
    <t>единиц
(чел.-час)</t>
  </si>
  <si>
    <t>тыс.руб. 
на
единицу</t>
  </si>
  <si>
    <t xml:space="preserve">
гр.5/гр.17</t>
  </si>
  <si>
    <t xml:space="preserve">
гр.14/гр.17</t>
  </si>
  <si>
    <t>Нормативные затраты на единицу оказания муниципальной услуги 5</t>
  </si>
  <si>
    <t>Реализация дополнительных общеобразовательных предпрофессиональных программ в области искусств
 (801012О.99.0.ББ56АЕ20001 - 
духовые и ударные инструменты)</t>
  </si>
  <si>
    <t>Реализация дополнительных общеобразовательных предпрофессиональных программ в области искусств 
(801012О.99.0.ББ56АВ76000 - 
Струнные инструменты)</t>
  </si>
  <si>
    <t>Реализация дополнительных общеобразовательных предпрофессиональных программ в области искусств 
(801012О.99.0.ББ56АА32001 - 
Фортепиано)</t>
  </si>
  <si>
    <t>Реализация дополнительных общеобразовательных предпрофессиональных программ в области искусств 
(801012О.99.0.ББ56АЕ84001 - 
Народные инструменты)</t>
  </si>
  <si>
    <t>Реализация дополнительных общеразвивающих программ                                       (804200О.99.0.ББ52АЖ48000)</t>
  </si>
  <si>
    <t>Реализация дополнительных общеобразовательных предпрофессиональных программ в области искусств 
( Декоративно - прикладное творчество)</t>
  </si>
  <si>
    <t>Реализация дополнительных общеобразовательных предпрофессиональных программ в области искусств 
(Хореография)</t>
  </si>
  <si>
    <t>РАСЧЕТ БАЗОВЫХ НОРМАТИВНЫХ ЗАТРАТ, СВЯЗАННЫХ С ОКАЗАНИЕМ МУНИЦИПАЛЬНЫХ УСЛУГ на 2023 год</t>
  </si>
  <si>
    <t>Приложение</t>
  </si>
  <si>
    <t>к постановлению администрации</t>
  </si>
  <si>
    <t>городского округа ЗАТО Свободный</t>
  </si>
  <si>
    <t>Муниципальное бюджетное учреждение дополнительного образования «Детская школа искусств»</t>
  </si>
  <si>
    <t>от  «12» сентября 2023 года №505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</si>
</sst>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0" fillId="0" borderId="7" xfId="0" applyBorder="1"/>
    <xf numFmtId="0" fontId="3" fillId="0" borderId="15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 indent="2"/>
    </xf>
    <xf numFmtId="164" fontId="7" fillId="2" borderId="23" xfId="1" applyFont="1" applyFill="1" applyBorder="1" applyAlignment="1">
      <alignment horizontal="center" vertical="center" wrapText="1"/>
    </xf>
    <xf numFmtId="2" fontId="7" fillId="2" borderId="23" xfId="1" applyNumberFormat="1" applyFont="1" applyFill="1" applyBorder="1" applyAlignment="1">
      <alignment horizontal="center" vertical="center" wrapText="1"/>
    </xf>
    <xf numFmtId="164" fontId="7" fillId="2" borderId="25" xfId="1" applyFont="1" applyFill="1" applyBorder="1" applyAlignment="1">
      <alignment horizontal="center" vertical="center" wrapText="1"/>
    </xf>
    <xf numFmtId="164" fontId="7" fillId="2" borderId="25" xfId="1" applyFont="1" applyFill="1" applyBorder="1" applyAlignment="1">
      <alignment horizontal="center" vertical="center"/>
    </xf>
    <xf numFmtId="2" fontId="7" fillId="2" borderId="25" xfId="1" applyNumberFormat="1" applyFont="1" applyFill="1" applyBorder="1" applyAlignment="1">
      <alignment horizontal="center" vertical="center"/>
    </xf>
    <xf numFmtId="2" fontId="7" fillId="2" borderId="43" xfId="1" applyNumberFormat="1" applyFont="1" applyFill="1" applyBorder="1" applyAlignment="1">
      <alignment horizontal="center" vertical="center" wrapText="1"/>
    </xf>
    <xf numFmtId="164" fontId="7" fillId="2" borderId="43" xfId="1" applyFont="1" applyFill="1" applyBorder="1" applyAlignment="1">
      <alignment horizontal="center" vertical="center" wrapText="1"/>
    </xf>
    <xf numFmtId="164" fontId="7" fillId="2" borderId="43" xfId="1" applyFont="1" applyFill="1" applyBorder="1" applyAlignment="1">
      <alignment horizontal="center" vertical="center"/>
    </xf>
    <xf numFmtId="2" fontId="7" fillId="2" borderId="17" xfId="1" applyNumberFormat="1" applyFont="1" applyFill="1" applyBorder="1" applyAlignment="1">
      <alignment horizontal="center" vertical="center" wrapText="1"/>
    </xf>
    <xf numFmtId="164" fontId="7" fillId="2" borderId="26" xfId="1" applyFont="1" applyFill="1" applyBorder="1" applyAlignment="1">
      <alignment vertical="center"/>
    </xf>
    <xf numFmtId="2" fontId="0" fillId="2" borderId="0" xfId="0" applyNumberFormat="1" applyFill="1"/>
    <xf numFmtId="0" fontId="0" fillId="2" borderId="0" xfId="0" applyFill="1"/>
    <xf numFmtId="0" fontId="5" fillId="2" borderId="0" xfId="0" applyFont="1" applyFill="1"/>
    <xf numFmtId="0" fontId="1" fillId="2" borderId="3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vertical="top" wrapText="1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20" xfId="0" applyFill="1" applyBorder="1"/>
    <xf numFmtId="164" fontId="7" fillId="2" borderId="27" xfId="1" applyFont="1" applyFill="1" applyBorder="1" applyAlignment="1">
      <alignment horizontal="center" vertical="center"/>
    </xf>
    <xf numFmtId="164" fontId="7" fillId="2" borderId="23" xfId="1" applyFont="1" applyFill="1" applyBorder="1" applyAlignment="1">
      <alignment horizontal="center" vertical="center"/>
    </xf>
    <xf numFmtId="164" fontId="7" fillId="2" borderId="24" xfId="1" applyFont="1" applyFill="1" applyBorder="1" applyAlignment="1">
      <alignment vertical="center" wrapText="1"/>
    </xf>
    <xf numFmtId="4" fontId="0" fillId="2" borderId="0" xfId="0" applyNumberFormat="1" applyFill="1"/>
    <xf numFmtId="0" fontId="3" fillId="2" borderId="1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0" fillId="2" borderId="40" xfId="0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indent="2"/>
    </xf>
    <xf numFmtId="164" fontId="7" fillId="2" borderId="41" xfId="1" applyNumberFormat="1" applyFont="1" applyFill="1" applyBorder="1" applyAlignment="1">
      <alignment vertical="center" wrapText="1"/>
    </xf>
    <xf numFmtId="164" fontId="7" fillId="2" borderId="42" xfId="1" applyNumberFormat="1" applyFont="1" applyFill="1" applyBorder="1" applyAlignment="1">
      <alignment vertical="center" wrapText="1"/>
    </xf>
    <xf numFmtId="164" fontId="7" fillId="2" borderId="47" xfId="1" applyNumberFormat="1" applyFont="1" applyFill="1" applyBorder="1" applyAlignment="1">
      <alignment vertical="center"/>
    </xf>
    <xf numFmtId="164" fontId="7" fillId="2" borderId="45" xfId="1" applyNumberFormat="1" applyFont="1" applyFill="1" applyBorder="1" applyAlignment="1">
      <alignment vertical="center" wrapText="1"/>
    </xf>
    <xf numFmtId="0" fontId="5" fillId="2" borderId="0" xfId="0" applyFont="1" applyFill="1" applyBorder="1" applyAlignment="1"/>
    <xf numFmtId="0" fontId="0" fillId="2" borderId="0" xfId="0" applyFill="1" applyBorder="1"/>
    <xf numFmtId="0" fontId="13" fillId="0" borderId="0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zoomScale="90" zoomScaleNormal="90" workbookViewId="0">
      <selection activeCell="O5" sqref="O5:R5"/>
    </sheetView>
  </sheetViews>
  <sheetFormatPr defaultRowHeight="14.3" x14ac:dyDescent="0.25"/>
  <cols>
    <col min="1" max="1" width="35.25" customWidth="1"/>
    <col min="2" max="2" width="11.625" style="16" customWidth="1"/>
    <col min="3" max="4" width="10.125" style="16" bestFit="1" customWidth="1"/>
    <col min="5" max="5" width="12.75" style="16" customWidth="1"/>
    <col min="6" max="6" width="9.25" style="16" bestFit="1" customWidth="1"/>
    <col min="7" max="7" width="11" style="16" customWidth="1"/>
    <col min="8" max="12" width="9.25" style="16" bestFit="1" customWidth="1"/>
    <col min="13" max="13" width="11.625" style="16" customWidth="1"/>
    <col min="14" max="14" width="12.125" style="16" customWidth="1"/>
    <col min="15" max="15" width="9.25" style="16" bestFit="1" customWidth="1"/>
    <col min="16" max="16" width="11.25" style="16" customWidth="1"/>
    <col min="17" max="17" width="10.75" style="16" bestFit="1" customWidth="1"/>
    <col min="18" max="18" width="10.125" style="16" bestFit="1" customWidth="1"/>
    <col min="19" max="25" width="8.875" style="16"/>
  </cols>
  <sheetData>
    <row r="1" spans="1:18" ht="15.65" x14ac:dyDescent="0.25">
      <c r="M1" s="45"/>
      <c r="N1" s="45"/>
      <c r="O1" s="45"/>
      <c r="P1" s="45"/>
      <c r="Q1" s="45"/>
      <c r="R1" s="45"/>
    </row>
    <row r="2" spans="1:18" ht="15.65" x14ac:dyDescent="0.25">
      <c r="M2" s="46"/>
      <c r="N2" s="46"/>
      <c r="O2" s="47" t="s">
        <v>40</v>
      </c>
      <c r="P2" s="47"/>
      <c r="Q2" s="47"/>
      <c r="R2" s="47"/>
    </row>
    <row r="3" spans="1:18" ht="15.8" customHeight="1" x14ac:dyDescent="0.25">
      <c r="M3" s="46"/>
      <c r="N3" s="46"/>
      <c r="O3" s="75" t="s">
        <v>41</v>
      </c>
      <c r="P3" s="75"/>
      <c r="Q3" s="75"/>
      <c r="R3" s="75"/>
    </row>
    <row r="4" spans="1:18" ht="15.8" customHeight="1" x14ac:dyDescent="0.25">
      <c r="M4" s="45"/>
      <c r="N4" s="45"/>
      <c r="O4" s="75" t="s">
        <v>42</v>
      </c>
      <c r="P4" s="75"/>
      <c r="Q4" s="75"/>
      <c r="R4" s="75"/>
    </row>
    <row r="5" spans="1:18" ht="15.65" x14ac:dyDescent="0.25">
      <c r="M5" s="46"/>
      <c r="N5" s="46"/>
      <c r="O5" s="76" t="s">
        <v>44</v>
      </c>
      <c r="P5" s="76"/>
      <c r="Q5" s="76"/>
      <c r="R5" s="76"/>
    </row>
    <row r="6" spans="1:18" x14ac:dyDescent="0.25">
      <c r="M6" s="46"/>
      <c r="N6" s="46"/>
      <c r="O6" s="46"/>
      <c r="P6" s="46"/>
      <c r="Q6" s="46"/>
      <c r="R6" s="46"/>
    </row>
    <row r="7" spans="1:18" ht="15.65" x14ac:dyDescent="0.25">
      <c r="A7" s="74" t="s">
        <v>39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15.65" x14ac:dyDescent="0.25">
      <c r="A8" s="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3.799999999999997" customHeight="1" x14ac:dyDescent="0.25">
      <c r="A9" s="73" t="s">
        <v>43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1" spans="1:18" ht="14.95" thickBot="1" x14ac:dyDescent="0.3"/>
    <row r="12" spans="1:18" ht="68.3" customHeight="1" thickBot="1" x14ac:dyDescent="0.3">
      <c r="A12" s="48" t="s">
        <v>0</v>
      </c>
      <c r="B12" s="50" t="s">
        <v>16</v>
      </c>
      <c r="C12" s="51"/>
      <c r="D12" s="51"/>
      <c r="E12" s="51"/>
      <c r="F12" s="51"/>
      <c r="G12" s="52" t="s">
        <v>17</v>
      </c>
      <c r="H12" s="53"/>
      <c r="I12" s="53"/>
      <c r="J12" s="53"/>
      <c r="K12" s="53"/>
      <c r="L12" s="53"/>
      <c r="M12" s="53"/>
      <c r="N12" s="53"/>
      <c r="O12" s="54"/>
      <c r="P12" s="18" t="s">
        <v>1</v>
      </c>
      <c r="Q12" s="55" t="s">
        <v>2</v>
      </c>
      <c r="R12" s="58" t="s">
        <v>31</v>
      </c>
    </row>
    <row r="13" spans="1:18" ht="22.6" customHeight="1" x14ac:dyDescent="0.25">
      <c r="A13" s="49"/>
      <c r="B13" s="60" t="s">
        <v>3</v>
      </c>
      <c r="C13" s="60" t="s">
        <v>4</v>
      </c>
      <c r="D13" s="60" t="s">
        <v>5</v>
      </c>
      <c r="E13" s="62" t="s">
        <v>6</v>
      </c>
      <c r="F13" s="63"/>
      <c r="G13" s="56" t="s">
        <v>18</v>
      </c>
      <c r="H13" s="61" t="s">
        <v>15</v>
      </c>
      <c r="I13" s="61" t="s">
        <v>19</v>
      </c>
      <c r="J13" s="61" t="s">
        <v>20</v>
      </c>
      <c r="K13" s="56" t="s">
        <v>21</v>
      </c>
      <c r="L13" s="65" t="s">
        <v>22</v>
      </c>
      <c r="M13" s="67" t="s">
        <v>23</v>
      </c>
      <c r="N13" s="69" t="s">
        <v>7</v>
      </c>
      <c r="O13" s="70"/>
      <c r="P13" s="19" t="s">
        <v>25</v>
      </c>
      <c r="Q13" s="56"/>
      <c r="R13" s="59"/>
    </row>
    <row r="14" spans="1:18" ht="68.3" customHeight="1" thickBot="1" x14ac:dyDescent="0.3">
      <c r="A14" s="49"/>
      <c r="B14" s="61"/>
      <c r="C14" s="61"/>
      <c r="D14" s="61"/>
      <c r="E14" s="56"/>
      <c r="F14" s="64"/>
      <c r="G14" s="56"/>
      <c r="H14" s="61"/>
      <c r="I14" s="61"/>
      <c r="J14" s="61"/>
      <c r="K14" s="56"/>
      <c r="L14" s="66"/>
      <c r="M14" s="68"/>
      <c r="N14" s="71"/>
      <c r="O14" s="72"/>
      <c r="P14" s="20"/>
      <c r="Q14" s="57"/>
      <c r="R14" s="59"/>
    </row>
    <row r="15" spans="1:18" ht="39.1" customHeight="1" thickBot="1" x14ac:dyDescent="0.3">
      <c r="A15" s="1"/>
      <c r="B15" s="21" t="s">
        <v>10</v>
      </c>
      <c r="C15" s="21" t="s">
        <v>10</v>
      </c>
      <c r="D15" s="21" t="s">
        <v>10</v>
      </c>
      <c r="E15" s="21" t="s">
        <v>10</v>
      </c>
      <c r="F15" s="22" t="s">
        <v>29</v>
      </c>
      <c r="G15" s="21" t="s">
        <v>10</v>
      </c>
      <c r="H15" s="21" t="s">
        <v>10</v>
      </c>
      <c r="I15" s="21" t="s">
        <v>10</v>
      </c>
      <c r="J15" s="21" t="s">
        <v>10</v>
      </c>
      <c r="K15" s="21" t="s">
        <v>10</v>
      </c>
      <c r="L15" s="21" t="s">
        <v>10</v>
      </c>
      <c r="M15" s="21" t="s">
        <v>10</v>
      </c>
      <c r="N15" s="21" t="s">
        <v>10</v>
      </c>
      <c r="O15" s="22" t="s">
        <v>30</v>
      </c>
      <c r="P15" s="23" t="s">
        <v>10</v>
      </c>
      <c r="Q15" s="33" t="s">
        <v>27</v>
      </c>
      <c r="R15" s="22" t="s">
        <v>28</v>
      </c>
    </row>
    <row r="16" spans="1:18" ht="19.55" customHeight="1" thickBot="1" x14ac:dyDescent="0.3">
      <c r="A16" s="2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24">
        <v>12</v>
      </c>
      <c r="M16" s="24">
        <v>13</v>
      </c>
      <c r="N16" s="24">
        <v>14</v>
      </c>
      <c r="O16" s="24">
        <v>15</v>
      </c>
      <c r="P16" s="24">
        <v>16</v>
      </c>
      <c r="Q16" s="34">
        <v>17</v>
      </c>
      <c r="R16" s="25">
        <v>18</v>
      </c>
    </row>
    <row r="17" spans="1:19" s="16" customFormat="1" x14ac:dyDescent="0.25">
      <c r="A17" s="38" t="s">
        <v>8</v>
      </c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5"/>
      <c r="R17" s="28"/>
    </row>
    <row r="18" spans="1:19" s="16" customFormat="1" ht="54.35" x14ac:dyDescent="0.25">
      <c r="A18" s="39" t="s">
        <v>32</v>
      </c>
      <c r="B18" s="7">
        <f>9563.56/31496.75*2976</f>
        <v>903.6219470262804</v>
      </c>
      <c r="C18" s="7">
        <f>21.34/31496.75*2976</f>
        <v>2.0163299388032097</v>
      </c>
      <c r="D18" s="7">
        <f>38.57/31496.75*2976</f>
        <v>3.6443226682117995</v>
      </c>
      <c r="E18" s="8">
        <f>SUM(B18:D18)</f>
        <v>909.28259963329538</v>
      </c>
      <c r="F18" s="8">
        <f>E18/Q18</f>
        <v>0.3055385079412955</v>
      </c>
      <c r="G18" s="7">
        <f>3354.85/31496.75*2976</f>
        <v>316.98615253954773</v>
      </c>
      <c r="H18" s="7">
        <f>225.43/31496.75*2976</f>
        <v>21.299965234508324</v>
      </c>
      <c r="I18" s="9">
        <v>0</v>
      </c>
      <c r="J18" s="7">
        <f>2.91/31496.75*2976</f>
        <v>0.27495408256407405</v>
      </c>
      <c r="K18" s="7">
        <f>61.04/31496.75*2976</f>
        <v>5.7674217181137735</v>
      </c>
      <c r="L18" s="7">
        <v>0</v>
      </c>
      <c r="M18" s="7">
        <f>785.79/31496.75*2976</f>
        <v>74.246106026812285</v>
      </c>
      <c r="N18" s="8">
        <f t="shared" ref="N18:N24" si="0">SUM(G18:M18)</f>
        <v>418.5745996015462</v>
      </c>
      <c r="O18" s="8">
        <f t="shared" ref="O18:O25" si="1">N18/Q18</f>
        <v>0.14065006707041203</v>
      </c>
      <c r="P18" s="8">
        <f t="shared" ref="P18:P24" si="2">E18+N18</f>
        <v>1327.8571992348416</v>
      </c>
      <c r="Q18" s="43">
        <v>2976</v>
      </c>
      <c r="R18" s="14">
        <f t="shared" ref="R18:R25" si="3">P18/Q18</f>
        <v>0.4461885750117075</v>
      </c>
    </row>
    <row r="19" spans="1:19" s="16" customFormat="1" ht="54.35" x14ac:dyDescent="0.25">
      <c r="A19" s="39" t="s">
        <v>33</v>
      </c>
      <c r="B19" s="7">
        <f>9563.56/31496.75*2321.5</f>
        <v>704.89191869002354</v>
      </c>
      <c r="C19" s="7">
        <f>21.34/31496.75*2321.5</f>
        <v>1.5728864089152055</v>
      </c>
      <c r="D19" s="7">
        <f>38.57/31496.75*2321.5</f>
        <v>2.8428410867787948</v>
      </c>
      <c r="E19" s="8">
        <f t="shared" ref="E19:E21" si="4">SUM(B19:D19)</f>
        <v>709.30764618571754</v>
      </c>
      <c r="F19" s="8">
        <f t="shared" ref="F19:F24" si="5">E19/Q19</f>
        <v>0.3055385079412955</v>
      </c>
      <c r="G19" s="7">
        <f>3354.85/31496.75*2321.5</f>
        <v>247.27263209696235</v>
      </c>
      <c r="H19" s="7">
        <f>225.43/31496.75*2321.5</f>
        <v>16.615547477120657</v>
      </c>
      <c r="I19" s="9">
        <v>0</v>
      </c>
      <c r="J19" s="7">
        <f>2.91/31496.75*2321.5</f>
        <v>0.21448451030661894</v>
      </c>
      <c r="K19" s="7">
        <f>61.04/31496.75*2321.5</f>
        <v>4.4990152952288724</v>
      </c>
      <c r="L19" s="7"/>
      <c r="M19" s="7">
        <f>785.79/31496.75*2321.5</f>
        <v>57.917451324342984</v>
      </c>
      <c r="N19" s="8">
        <f t="shared" si="0"/>
        <v>326.51913070396154</v>
      </c>
      <c r="O19" s="8">
        <f t="shared" si="1"/>
        <v>0.14065006707041203</v>
      </c>
      <c r="P19" s="8">
        <f t="shared" si="2"/>
        <v>1035.826776889679</v>
      </c>
      <c r="Q19" s="43">
        <v>2321.5</v>
      </c>
      <c r="R19" s="14">
        <f t="shared" si="3"/>
        <v>0.4461885750117075</v>
      </c>
    </row>
    <row r="20" spans="1:19" s="16" customFormat="1" ht="54.35" x14ac:dyDescent="0.25">
      <c r="A20" s="39" t="s">
        <v>34</v>
      </c>
      <c r="B20" s="7">
        <f>9563.56/31496.75*5870.5</f>
        <v>1782.4975268876947</v>
      </c>
      <c r="C20" s="7">
        <f>21.34/31496.75*5870.5</f>
        <v>3.9774411645645977</v>
      </c>
      <c r="D20" s="7">
        <f>38.57/31496.75*5870.5</f>
        <v>7.1888428171160514</v>
      </c>
      <c r="E20" s="8">
        <f t="shared" si="4"/>
        <v>1793.6638108693753</v>
      </c>
      <c r="F20" s="8">
        <f t="shared" si="5"/>
        <v>0.3055385079412955</v>
      </c>
      <c r="G20" s="7">
        <f>3354.85/31496.75*5870.5</f>
        <v>625.29140070007213</v>
      </c>
      <c r="H20" s="7">
        <f>225.43/31496.75*5870.5</f>
        <v>42.016614888837736</v>
      </c>
      <c r="I20" s="9">
        <v>0</v>
      </c>
      <c r="J20" s="7">
        <f>2.91/31496.75*5870.5</f>
        <v>0.54237834062244517</v>
      </c>
      <c r="K20" s="7">
        <f>61.04/31496.75*5870.5</f>
        <v>11.376898251406891</v>
      </c>
      <c r="L20" s="7"/>
      <c r="M20" s="7">
        <f>785.79/31496.75*5870.5</f>
        <v>146.4589265559145</v>
      </c>
      <c r="N20" s="8">
        <f t="shared" si="0"/>
        <v>825.68621873685379</v>
      </c>
      <c r="O20" s="8">
        <f t="shared" si="1"/>
        <v>0.14065006707041203</v>
      </c>
      <c r="P20" s="8">
        <f t="shared" si="2"/>
        <v>2619.3500296062293</v>
      </c>
      <c r="Q20" s="43">
        <v>5870.5</v>
      </c>
      <c r="R20" s="14">
        <f t="shared" si="3"/>
        <v>0.44618857501170756</v>
      </c>
    </row>
    <row r="21" spans="1:19" s="16" customFormat="1" ht="54.35" x14ac:dyDescent="0.25">
      <c r="A21" s="39" t="s">
        <v>35</v>
      </c>
      <c r="B21" s="7">
        <f>9563.56/31496.75*4637.5</f>
        <v>1408.1138371419272</v>
      </c>
      <c r="C21" s="7">
        <f>21.34/31496.75*4637.5</f>
        <v>3.1420464016128649</v>
      </c>
      <c r="D21" s="7">
        <f>38.57/31496.75*4637.5</f>
        <v>5.6789470342178161</v>
      </c>
      <c r="E21" s="8">
        <f t="shared" si="4"/>
        <v>1416.9348305777578</v>
      </c>
      <c r="F21" s="8">
        <f t="shared" si="5"/>
        <v>0.3055385079412955</v>
      </c>
      <c r="G21" s="7">
        <f>3354.85/31496.75*4637.5</f>
        <v>493.95943629104585</v>
      </c>
      <c r="H21" s="7">
        <f>225.43/31496.75*4637.5</f>
        <v>33.19173009913721</v>
      </c>
      <c r="I21" s="13">
        <v>0</v>
      </c>
      <c r="J21" s="7">
        <f>2.91/31496.75*4637.5</f>
        <v>0.42846087294720886</v>
      </c>
      <c r="K21" s="7">
        <f>61.04/31496.75*4637.5</f>
        <v>8.987371712954511</v>
      </c>
      <c r="L21" s="7"/>
      <c r="M21" s="7">
        <f>785.79/31496.75*4637.5</f>
        <v>115.69768706295093</v>
      </c>
      <c r="N21" s="8">
        <f t="shared" si="0"/>
        <v>652.26468603903572</v>
      </c>
      <c r="O21" s="8">
        <f t="shared" si="1"/>
        <v>0.14065006707041203</v>
      </c>
      <c r="P21" s="8">
        <f t="shared" si="2"/>
        <v>2069.1995166167935</v>
      </c>
      <c r="Q21" s="41">
        <v>4637.5</v>
      </c>
      <c r="R21" s="14">
        <f t="shared" si="3"/>
        <v>0.4461885750117075</v>
      </c>
      <c r="S21" s="15"/>
    </row>
    <row r="22" spans="1:19" s="16" customFormat="1" ht="43.5" x14ac:dyDescent="0.25">
      <c r="A22" s="39" t="s">
        <v>37</v>
      </c>
      <c r="B22" s="7">
        <f>9563.56/31496.75*6360</f>
        <v>1931.1275480803574</v>
      </c>
      <c r="C22" s="7">
        <f>21.34/31496.75*6360</f>
        <v>4.3090922079262146</v>
      </c>
      <c r="D22" s="7">
        <f>38.57/31496.75*6360</f>
        <v>7.7882702183558621</v>
      </c>
      <c r="E22" s="8">
        <f t="shared" ref="E22:E23" si="6">SUM(B22:D22)</f>
        <v>1943.2249105066394</v>
      </c>
      <c r="F22" s="8">
        <f t="shared" ref="F22:F23" si="7">E22/Q22</f>
        <v>0.3055385079412955</v>
      </c>
      <c r="G22" s="7">
        <f>3354.85/31496.75*6360</f>
        <v>677.43008405629143</v>
      </c>
      <c r="H22" s="7">
        <f>225.43/31496.75*6360</f>
        <v>45.520086993102467</v>
      </c>
      <c r="I22" s="13">
        <v>0</v>
      </c>
      <c r="J22" s="7">
        <f>2.91/31496.75*6360</f>
        <v>0.58760348289902931</v>
      </c>
      <c r="K22" s="7">
        <f>61.04/31496.75*6360</f>
        <v>12.325538349194758</v>
      </c>
      <c r="L22" s="7"/>
      <c r="M22" s="7">
        <f>785.79/31496.75*6360</f>
        <v>158.67111368633272</v>
      </c>
      <c r="N22" s="8">
        <f t="shared" si="0"/>
        <v>894.53442656782045</v>
      </c>
      <c r="O22" s="8">
        <f t="shared" si="1"/>
        <v>0.14065006707041203</v>
      </c>
      <c r="P22" s="8">
        <f t="shared" si="2"/>
        <v>2837.7593370744598</v>
      </c>
      <c r="Q22" s="41">
        <v>6360</v>
      </c>
      <c r="R22" s="14">
        <f t="shared" si="3"/>
        <v>0.4461885750117075</v>
      </c>
      <c r="S22" s="15"/>
    </row>
    <row r="23" spans="1:19" s="16" customFormat="1" ht="43.5" x14ac:dyDescent="0.25">
      <c r="A23" s="39" t="s">
        <v>38</v>
      </c>
      <c r="B23" s="7">
        <f>9563.56/31496.75*9331.25</f>
        <v>2833.3072221737161</v>
      </c>
      <c r="C23" s="7">
        <f>21.34/31496.75*9331.25</f>
        <v>6.3222038781779073</v>
      </c>
      <c r="D23" s="7">
        <f>38.57/31496.75*9331.25</f>
        <v>11.426776175319675</v>
      </c>
      <c r="E23" s="8">
        <f t="shared" si="6"/>
        <v>2851.0562022272138</v>
      </c>
      <c r="F23" s="8">
        <f t="shared" si="7"/>
        <v>0.3055385079412955</v>
      </c>
      <c r="G23" s="7">
        <f>3354.85/31496.75*9331.25</f>
        <v>993.91029431608013</v>
      </c>
      <c r="H23" s="7">
        <f>225.43/31496.75*9331.25</f>
        <v>66.786055307293609</v>
      </c>
      <c r="I23" s="13">
        <v>0</v>
      </c>
      <c r="J23" s="7">
        <f>2.91/31496.75*9331.25</f>
        <v>0.86211871066062373</v>
      </c>
      <c r="K23" s="7">
        <f>61.04/31496.75*9331.25</f>
        <v>18.083754673101193</v>
      </c>
      <c r="L23" s="7"/>
      <c r="M23" s="7">
        <f>785.79/31496.75*9331.25</f>
        <v>232.79871534364656</v>
      </c>
      <c r="N23" s="8">
        <f t="shared" si="0"/>
        <v>1312.4409383507818</v>
      </c>
      <c r="O23" s="8">
        <f t="shared" si="1"/>
        <v>0.14065006707041197</v>
      </c>
      <c r="P23" s="8">
        <f t="shared" si="2"/>
        <v>4163.4971405779961</v>
      </c>
      <c r="Q23" s="41">
        <v>9331.25</v>
      </c>
      <c r="R23" s="14">
        <f t="shared" si="3"/>
        <v>0.44618857501170756</v>
      </c>
      <c r="S23" s="15"/>
    </row>
    <row r="24" spans="1:19" s="16" customFormat="1" ht="33.299999999999997" thickBot="1" x14ac:dyDescent="0.3">
      <c r="A24" s="37" t="s">
        <v>36</v>
      </c>
      <c r="B24" s="11">
        <v>11117.79</v>
      </c>
      <c r="C24" s="11">
        <v>24.8</v>
      </c>
      <c r="D24" s="11">
        <v>44.83</v>
      </c>
      <c r="E24" s="12">
        <f t="shared" ref="E24" si="8">B24+C24+D24</f>
        <v>11187.42</v>
      </c>
      <c r="F24" s="8">
        <f t="shared" si="5"/>
        <v>0.30553781868334451</v>
      </c>
      <c r="G24" s="11">
        <v>3900.07</v>
      </c>
      <c r="H24" s="11">
        <v>262.07</v>
      </c>
      <c r="I24" s="10">
        <v>0</v>
      </c>
      <c r="J24" s="11">
        <v>3.39</v>
      </c>
      <c r="K24" s="11">
        <v>70.959999999999994</v>
      </c>
      <c r="L24" s="10"/>
      <c r="M24" s="11">
        <v>913.51</v>
      </c>
      <c r="N24" s="11">
        <f t="shared" si="0"/>
        <v>5150.0000000000009</v>
      </c>
      <c r="O24" s="29">
        <f t="shared" si="1"/>
        <v>0.14065081727683634</v>
      </c>
      <c r="P24" s="11">
        <f t="shared" si="2"/>
        <v>16337.420000000002</v>
      </c>
      <c r="Q24" s="44">
        <v>36615.5</v>
      </c>
      <c r="R24" s="14">
        <f t="shared" si="3"/>
        <v>0.44618863596018082</v>
      </c>
      <c r="S24" s="15"/>
    </row>
    <row r="25" spans="1:19" s="16" customFormat="1" ht="14.95" thickBot="1" x14ac:dyDescent="0.3">
      <c r="A25" s="36" t="s">
        <v>9</v>
      </c>
      <c r="B25" s="5">
        <f>SUM(B18:B24)</f>
        <v>20681.349999999999</v>
      </c>
      <c r="C25" s="5">
        <f>SUM(C18:C24)</f>
        <v>46.14</v>
      </c>
      <c r="D25" s="5">
        <f>SUM(D18:D24)</f>
        <v>83.4</v>
      </c>
      <c r="E25" s="5">
        <f>SUM(E18:E24)</f>
        <v>20810.89</v>
      </c>
      <c r="F25" s="30">
        <f>E25/Q25</f>
        <v>0.30553813741287361</v>
      </c>
      <c r="G25" s="5">
        <f>SUM(G18:G24)</f>
        <v>7254.92</v>
      </c>
      <c r="H25" s="5">
        <f>SUM(H18:H24)</f>
        <v>487.5</v>
      </c>
      <c r="I25" s="6">
        <f t="shared" ref="I25" si="9">SUM(I21:I24)</f>
        <v>0</v>
      </c>
      <c r="J25" s="6">
        <f>SUM(J18:J24)</f>
        <v>6.3000000000000007</v>
      </c>
      <c r="K25" s="5">
        <f>SUM(K18:K24)</f>
        <v>132</v>
      </c>
      <c r="L25" s="6">
        <f>SUM(L21:L24)</f>
        <v>0</v>
      </c>
      <c r="M25" s="5">
        <f>SUM(M18:M24)</f>
        <v>1699.3</v>
      </c>
      <c r="N25" s="5">
        <f>SUM(N18:N24)</f>
        <v>9580.02</v>
      </c>
      <c r="O25" s="30">
        <f t="shared" si="1"/>
        <v>0.14065047036326064</v>
      </c>
      <c r="P25" s="5">
        <f>SUM(P18:P24)</f>
        <v>30390.910000000003</v>
      </c>
      <c r="Q25" s="42">
        <f>SUM(Q18:Q24)</f>
        <v>68112.25</v>
      </c>
      <c r="R25" s="31">
        <f t="shared" si="3"/>
        <v>0.44618860777613428</v>
      </c>
    </row>
    <row r="26" spans="1:19" s="16" customFormat="1" ht="16.3" x14ac:dyDescent="0.25">
      <c r="A26" s="40"/>
      <c r="P26" s="32"/>
    </row>
    <row r="27" spans="1:19" s="16" customFormat="1" ht="16.3" x14ac:dyDescent="0.25">
      <c r="A27" s="40" t="s">
        <v>11</v>
      </c>
    </row>
    <row r="28" spans="1:19" s="16" customFormat="1" ht="16.3" x14ac:dyDescent="0.25">
      <c r="A28" s="40" t="s">
        <v>12</v>
      </c>
    </row>
    <row r="29" spans="1:19" ht="16.3" x14ac:dyDescent="0.25">
      <c r="A29" s="4" t="s">
        <v>13</v>
      </c>
    </row>
    <row r="30" spans="1:19" ht="16.3" x14ac:dyDescent="0.25">
      <c r="A30" s="4" t="s">
        <v>24</v>
      </c>
    </row>
    <row r="31" spans="1:19" ht="16.3" x14ac:dyDescent="0.25">
      <c r="A31" s="4" t="s">
        <v>26</v>
      </c>
    </row>
    <row r="32" spans="1:19" x14ac:dyDescent="0.25">
      <c r="F32" s="16" t="s">
        <v>14</v>
      </c>
    </row>
  </sheetData>
  <mergeCells count="22">
    <mergeCell ref="I13:I14"/>
    <mergeCell ref="A9:R9"/>
    <mergeCell ref="A7:R7"/>
    <mergeCell ref="O3:R3"/>
    <mergeCell ref="O4:R4"/>
    <mergeCell ref="O5:R5"/>
    <mergeCell ref="A12:A14"/>
    <mergeCell ref="B12:F12"/>
    <mergeCell ref="G12:O12"/>
    <mergeCell ref="Q12:Q14"/>
    <mergeCell ref="R12:R14"/>
    <mergeCell ref="B13:B14"/>
    <mergeCell ref="C13:C14"/>
    <mergeCell ref="D13:D14"/>
    <mergeCell ref="E13:F14"/>
    <mergeCell ref="G13:G14"/>
    <mergeCell ref="H13:H14"/>
    <mergeCell ref="J13:J14"/>
    <mergeCell ref="K13:K14"/>
    <mergeCell ref="L13:L14"/>
    <mergeCell ref="M13:M14"/>
    <mergeCell ref="N13:O14"/>
  </mergeCells>
  <pageMargins left="0.78740157480314965" right="0.78740157480314965" top="0.98425196850393704" bottom="0.59055118110236227" header="0.31496062992125984" footer="0.31496062992125984"/>
  <pageSetup paperSize="9" scale="55" orientation="landscape" r:id="rId1"/>
  <headerFooter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2023-09-19T09:15:39Z</dcterms:modified>
</cp:coreProperties>
</file>