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 СШ 25" sheetId="9" r:id="rId1"/>
    <sheet name="Приложение 2 АЛЕНУШКА" sheetId="4" r:id="rId2"/>
    <sheet name="приложение 3 ДШИ" sheetId="6" r:id="rId3"/>
    <sheet name="Приложение 4 ДЮСШ" sheetId="3" r:id="rId4"/>
    <sheet name="Приложение 5 СЮТ" sheetId="5" r:id="rId5"/>
    <sheet name="Приложение 6 ДК" sheetId="8" r:id="rId6"/>
  </sheets>
  <externalReferences>
    <externalReference r:id="rId7"/>
    <externalReference r:id="rId8"/>
    <externalReference r:id="rId9"/>
  </externalReferences>
  <definedNames>
    <definedName name="_xlnm.Print_Area" localSheetId="2">'приложение 3 ДШИ'!$A$1:$T$36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9" l="1"/>
  <c r="D28" i="9"/>
  <c r="N27" i="9"/>
  <c r="O27" i="9" s="1"/>
  <c r="E27" i="9"/>
  <c r="F27" i="9" s="1"/>
  <c r="B27" i="9"/>
  <c r="O26" i="9"/>
  <c r="N26" i="9"/>
  <c r="B26" i="9"/>
  <c r="E26" i="9" s="1"/>
  <c r="N25" i="9"/>
  <c r="O25" i="9" s="1"/>
  <c r="E25" i="9"/>
  <c r="F25" i="9" s="1"/>
  <c r="B25" i="9"/>
  <c r="O24" i="9"/>
  <c r="N24" i="9"/>
  <c r="B24" i="9"/>
  <c r="E24" i="9" s="1"/>
  <c r="N23" i="9"/>
  <c r="O23" i="9" s="1"/>
  <c r="M23" i="9"/>
  <c r="C23" i="9"/>
  <c r="E23" i="9" s="1"/>
  <c r="N22" i="9"/>
  <c r="O22" i="9" s="1"/>
  <c r="M22" i="9"/>
  <c r="C22" i="9"/>
  <c r="E22" i="9" s="1"/>
  <c r="Q21" i="9"/>
  <c r="M21" i="9"/>
  <c r="I21" i="9"/>
  <c r="H21" i="9"/>
  <c r="G21" i="9"/>
  <c r="N21" i="9" s="1"/>
  <c r="O21" i="9" s="1"/>
  <c r="C21" i="9"/>
  <c r="B21" i="9"/>
  <c r="E21" i="9" s="1"/>
  <c r="Q20" i="9"/>
  <c r="M20" i="9"/>
  <c r="I20" i="9"/>
  <c r="H20" i="9"/>
  <c r="G20" i="9"/>
  <c r="N20" i="9" s="1"/>
  <c r="O20" i="9" s="1"/>
  <c r="E20" i="9"/>
  <c r="P20" i="9" s="1"/>
  <c r="R20" i="9" s="1"/>
  <c r="C20" i="9"/>
  <c r="B20" i="9"/>
  <c r="Q19" i="9"/>
  <c r="M19" i="9"/>
  <c r="I19" i="9"/>
  <c r="H19" i="9"/>
  <c r="G19" i="9"/>
  <c r="N19" i="9" s="1"/>
  <c r="O19" i="9" s="1"/>
  <c r="C19" i="9"/>
  <c r="E19" i="9" s="1"/>
  <c r="B19" i="9"/>
  <c r="Q18" i="9"/>
  <c r="M18" i="9"/>
  <c r="K18" i="9"/>
  <c r="J18" i="9"/>
  <c r="I18" i="9"/>
  <c r="N18" i="9" s="1"/>
  <c r="O18" i="9" s="1"/>
  <c r="H18" i="9"/>
  <c r="G18" i="9"/>
  <c r="E18" i="9"/>
  <c r="C18" i="9"/>
  <c r="B18" i="9"/>
  <c r="Q17" i="9"/>
  <c r="M17" i="9"/>
  <c r="K17" i="9"/>
  <c r="J17" i="9"/>
  <c r="I17" i="9"/>
  <c r="H17" i="9"/>
  <c r="G17" i="9"/>
  <c r="N17" i="9" s="1"/>
  <c r="O17" i="9" s="1"/>
  <c r="C17" i="9"/>
  <c r="B17" i="9"/>
  <c r="E17" i="9" s="1"/>
  <c r="Q16" i="9"/>
  <c r="M16" i="9"/>
  <c r="K16" i="9"/>
  <c r="J16" i="9"/>
  <c r="I16" i="9"/>
  <c r="H16" i="9"/>
  <c r="G16" i="9"/>
  <c r="N16" i="9" s="1"/>
  <c r="O16" i="9" s="1"/>
  <c r="C16" i="9"/>
  <c r="B16" i="9"/>
  <c r="E16" i="9" s="1"/>
  <c r="Q15" i="9"/>
  <c r="M15" i="9"/>
  <c r="K15" i="9"/>
  <c r="J15" i="9"/>
  <c r="J28" i="9" s="1"/>
  <c r="I15" i="9"/>
  <c r="H15" i="9"/>
  <c r="N15" i="9" s="1"/>
  <c r="O15" i="9" s="1"/>
  <c r="G15" i="9"/>
  <c r="C15" i="9"/>
  <c r="E15" i="9" s="1"/>
  <c r="B15" i="9"/>
  <c r="Q14" i="9"/>
  <c r="Q28" i="9" s="1"/>
  <c r="M14" i="9"/>
  <c r="M28" i="9" s="1"/>
  <c r="K14" i="9"/>
  <c r="K28" i="9" s="1"/>
  <c r="J14" i="9"/>
  <c r="I14" i="9"/>
  <c r="I28" i="9" s="1"/>
  <c r="H14" i="9"/>
  <c r="H28" i="9" s="1"/>
  <c r="G14" i="9"/>
  <c r="G28" i="9" s="1"/>
  <c r="E14" i="9"/>
  <c r="C14" i="9"/>
  <c r="C28" i="9" s="1"/>
  <c r="B14" i="9"/>
  <c r="B28" i="9" s="1"/>
  <c r="P17" i="9" l="1"/>
  <c r="R17" i="9" s="1"/>
  <c r="F17" i="9"/>
  <c r="P19" i="9"/>
  <c r="R19" i="9" s="1"/>
  <c r="F19" i="9"/>
  <c r="P23" i="9"/>
  <c r="R23" i="9" s="1"/>
  <c r="F23" i="9"/>
  <c r="P22" i="9"/>
  <c r="R22" i="9" s="1"/>
  <c r="F22" i="9"/>
  <c r="P26" i="9"/>
  <c r="R26" i="9" s="1"/>
  <c r="F26" i="9"/>
  <c r="E28" i="9"/>
  <c r="F28" i="9" s="1"/>
  <c r="F21" i="9"/>
  <c r="P21" i="9"/>
  <c r="R21" i="9" s="1"/>
  <c r="F15" i="9"/>
  <c r="P15" i="9"/>
  <c r="R15" i="9" s="1"/>
  <c r="F16" i="9"/>
  <c r="P16" i="9"/>
  <c r="R16" i="9" s="1"/>
  <c r="P18" i="9"/>
  <c r="R18" i="9" s="1"/>
  <c r="F24" i="9"/>
  <c r="P24" i="9"/>
  <c r="R24" i="9" s="1"/>
  <c r="P25" i="9"/>
  <c r="R25" i="9" s="1"/>
  <c r="F14" i="9"/>
  <c r="F18" i="9"/>
  <c r="F20" i="9"/>
  <c r="N14" i="9"/>
  <c r="P14" i="9"/>
  <c r="P27" i="9"/>
  <c r="R27" i="9" s="1"/>
  <c r="Q25" i="8"/>
  <c r="M25" i="8"/>
  <c r="L25" i="8"/>
  <c r="K25" i="8"/>
  <c r="J25" i="8"/>
  <c r="I25" i="8"/>
  <c r="H25" i="8"/>
  <c r="D25" i="8"/>
  <c r="C25" i="8"/>
  <c r="B25" i="8"/>
  <c r="G24" i="8"/>
  <c r="G25" i="8" s="1"/>
  <c r="E24" i="8"/>
  <c r="N23" i="8"/>
  <c r="O23" i="8" s="1"/>
  <c r="F23" i="8"/>
  <c r="E23" i="8"/>
  <c r="P23" i="8" s="1"/>
  <c r="R23" i="8" s="1"/>
  <c r="P22" i="8"/>
  <c r="R22" i="8" s="1"/>
  <c r="O22" i="8"/>
  <c r="F22" i="8"/>
  <c r="E22" i="8"/>
  <c r="O21" i="8"/>
  <c r="N21" i="8"/>
  <c r="E21" i="8"/>
  <c r="F21" i="8" s="1"/>
  <c r="N20" i="8"/>
  <c r="O20" i="8" s="1"/>
  <c r="F20" i="8"/>
  <c r="E20" i="8"/>
  <c r="P20" i="8" s="1"/>
  <c r="R20" i="8" s="1"/>
  <c r="O19" i="8"/>
  <c r="N19" i="8"/>
  <c r="E19" i="8"/>
  <c r="E25" i="8" s="1"/>
  <c r="F25" i="8" s="1"/>
  <c r="P28" i="9" l="1"/>
  <c r="R14" i="9"/>
  <c r="R28" i="9" s="1"/>
  <c r="O14" i="9"/>
  <c r="N28" i="9"/>
  <c r="N24" i="8"/>
  <c r="O24" i="8" s="1"/>
  <c r="P19" i="8"/>
  <c r="P21" i="8"/>
  <c r="R21" i="8" s="1"/>
  <c r="F19" i="8"/>
  <c r="F24" i="8"/>
  <c r="N25" i="8" l="1"/>
  <c r="P24" i="8"/>
  <c r="R24" i="8" s="1"/>
  <c r="P25" i="8"/>
  <c r="R19" i="8"/>
  <c r="R25" i="8" s="1"/>
  <c r="Q26" i="6" l="1"/>
  <c r="L26" i="6"/>
  <c r="I26" i="6"/>
  <c r="N25" i="6"/>
  <c r="O25" i="6" s="1"/>
  <c r="E25" i="6"/>
  <c r="P25" i="6" s="1"/>
  <c r="R25" i="6" s="1"/>
  <c r="M24" i="6"/>
  <c r="K24" i="6"/>
  <c r="J24" i="6"/>
  <c r="H24" i="6"/>
  <c r="G24" i="6"/>
  <c r="D24" i="6"/>
  <c r="C24" i="6"/>
  <c r="B24" i="6"/>
  <c r="M23" i="6"/>
  <c r="K23" i="6"/>
  <c r="J23" i="6"/>
  <c r="H23" i="6"/>
  <c r="G23" i="6"/>
  <c r="D23" i="6"/>
  <c r="C23" i="6"/>
  <c r="B23" i="6"/>
  <c r="M22" i="6"/>
  <c r="K22" i="6"/>
  <c r="J22" i="6"/>
  <c r="H22" i="6"/>
  <c r="G22" i="6"/>
  <c r="D22" i="6"/>
  <c r="C22" i="6"/>
  <c r="B22" i="6"/>
  <c r="M21" i="6"/>
  <c r="K21" i="6"/>
  <c r="J21" i="6"/>
  <c r="H21" i="6"/>
  <c r="G21" i="6"/>
  <c r="D21" i="6"/>
  <c r="C21" i="6"/>
  <c r="B21" i="6"/>
  <c r="M20" i="6"/>
  <c r="K20" i="6"/>
  <c r="J20" i="6"/>
  <c r="H20" i="6"/>
  <c r="G20" i="6"/>
  <c r="D20" i="6"/>
  <c r="C20" i="6"/>
  <c r="B20" i="6"/>
  <c r="E20" i="6" s="1"/>
  <c r="M19" i="6"/>
  <c r="K19" i="6"/>
  <c r="J19" i="6"/>
  <c r="H19" i="6"/>
  <c r="G19" i="6"/>
  <c r="D19" i="6"/>
  <c r="C19" i="6"/>
  <c r="B19" i="6"/>
  <c r="E23" i="6" l="1"/>
  <c r="P23" i="6" s="1"/>
  <c r="R23" i="6" s="1"/>
  <c r="E24" i="6"/>
  <c r="N19" i="6"/>
  <c r="M26" i="6"/>
  <c r="K26" i="6"/>
  <c r="E22" i="6"/>
  <c r="H26" i="6"/>
  <c r="B26" i="6"/>
  <c r="N20" i="6"/>
  <c r="O20" i="6" s="1"/>
  <c r="N21" i="6"/>
  <c r="O21" i="6" s="1"/>
  <c r="F25" i="6"/>
  <c r="C26" i="6"/>
  <c r="J26" i="6"/>
  <c r="N22" i="6"/>
  <c r="O22" i="6" s="1"/>
  <c r="N23" i="6"/>
  <c r="O23" i="6" s="1"/>
  <c r="D26" i="6"/>
  <c r="E21" i="6"/>
  <c r="N24" i="6"/>
  <c r="O24" i="6" s="1"/>
  <c r="O19" i="6"/>
  <c r="F20" i="6"/>
  <c r="F22" i="6"/>
  <c r="F24" i="6"/>
  <c r="E19" i="6"/>
  <c r="G26" i="6"/>
  <c r="Q21" i="5"/>
  <c r="M21" i="5"/>
  <c r="L21" i="5"/>
  <c r="K21" i="5"/>
  <c r="J21" i="5"/>
  <c r="I21" i="5"/>
  <c r="H21" i="5"/>
  <c r="G21" i="5"/>
  <c r="E21" i="5"/>
  <c r="D21" i="5"/>
  <c r="C21" i="5"/>
  <c r="B21" i="5"/>
  <c r="N20" i="5"/>
  <c r="O20" i="5" s="1"/>
  <c r="E20" i="5"/>
  <c r="N19" i="5"/>
  <c r="O19" i="5" s="1"/>
  <c r="E19" i="5"/>
  <c r="F19" i="5" s="1"/>
  <c r="P22" i="6" l="1"/>
  <c r="R22" i="6" s="1"/>
  <c r="F23" i="6"/>
  <c r="P21" i="6"/>
  <c r="R21" i="6" s="1"/>
  <c r="P24" i="6"/>
  <c r="R24" i="6" s="1"/>
  <c r="F21" i="6"/>
  <c r="N26" i="6"/>
  <c r="O26" i="6" s="1"/>
  <c r="P20" i="6"/>
  <c r="R20" i="6" s="1"/>
  <c r="P20" i="5"/>
  <c r="R20" i="5" s="1"/>
  <c r="F20" i="5"/>
  <c r="F21" i="5" s="1"/>
  <c r="E26" i="6"/>
  <c r="F26" i="6" s="1"/>
  <c r="P19" i="6"/>
  <c r="F19" i="6"/>
  <c r="O21" i="5"/>
  <c r="P19" i="5"/>
  <c r="N21" i="5"/>
  <c r="R19" i="6" l="1"/>
  <c r="P26" i="6"/>
  <c r="R26" i="6" s="1"/>
  <c r="P21" i="5"/>
  <c r="R19" i="5"/>
  <c r="R21" i="5" s="1"/>
  <c r="B19" i="4" l="1"/>
  <c r="C19" i="4"/>
  <c r="D19" i="4"/>
  <c r="G19" i="4"/>
  <c r="N19" i="4" s="1"/>
  <c r="O19" i="4" s="1"/>
  <c r="B20" i="4"/>
  <c r="C20" i="4"/>
  <c r="D20" i="4"/>
  <c r="G20" i="4"/>
  <c r="N20" i="4" s="1"/>
  <c r="O20" i="4" s="1"/>
  <c r="B21" i="4"/>
  <c r="C21" i="4"/>
  <c r="D21" i="4"/>
  <c r="G21" i="4"/>
  <c r="N21" i="4" s="1"/>
  <c r="O21" i="4" s="1"/>
  <c r="C22" i="4"/>
  <c r="E22" i="4" s="1"/>
  <c r="F22" i="4" s="1"/>
  <c r="G22" i="4"/>
  <c r="H22" i="4"/>
  <c r="I22" i="4"/>
  <c r="J22" i="4"/>
  <c r="K22" i="4"/>
  <c r="M22" i="4"/>
  <c r="C23" i="4"/>
  <c r="E23" i="4" s="1"/>
  <c r="G23" i="4"/>
  <c r="H23" i="4"/>
  <c r="I23" i="4"/>
  <c r="J23" i="4"/>
  <c r="K23" i="4"/>
  <c r="M23" i="4"/>
  <c r="L24" i="4"/>
  <c r="Q24" i="4"/>
  <c r="J24" i="4" l="1"/>
  <c r="I24" i="4"/>
  <c r="E21" i="4"/>
  <c r="F21" i="4" s="1"/>
  <c r="E19" i="4"/>
  <c r="F19" i="4" s="1"/>
  <c r="M24" i="4"/>
  <c r="H24" i="4"/>
  <c r="D24" i="4"/>
  <c r="C24" i="4"/>
  <c r="K24" i="4"/>
  <c r="N23" i="4"/>
  <c r="O23" i="4" s="1"/>
  <c r="B24" i="4"/>
  <c r="N22" i="4"/>
  <c r="O22" i="4" s="1"/>
  <c r="F23" i="4"/>
  <c r="G24" i="4"/>
  <c r="E20" i="4"/>
  <c r="P21" i="4"/>
  <c r="R21" i="4" s="1"/>
  <c r="P19" i="4" l="1"/>
  <c r="P22" i="4"/>
  <c r="R22" i="4" s="1"/>
  <c r="P23" i="4"/>
  <c r="R23" i="4" s="1"/>
  <c r="N24" i="4"/>
  <c r="O24" i="4" s="1"/>
  <c r="R19" i="4"/>
  <c r="E24" i="4"/>
  <c r="F24" i="4" s="1"/>
  <c r="F20" i="4"/>
  <c r="P20" i="4"/>
  <c r="R20" i="4" s="1"/>
  <c r="P24" i="4" l="1"/>
  <c r="R24" i="4" s="1"/>
  <c r="Q21" i="3" l="1"/>
  <c r="M21" i="3"/>
  <c r="L21" i="3"/>
  <c r="K21" i="3"/>
  <c r="J21" i="3"/>
  <c r="I21" i="3"/>
  <c r="H21" i="3"/>
  <c r="G21" i="3"/>
  <c r="D21" i="3"/>
  <c r="C21" i="3"/>
  <c r="B21" i="3"/>
  <c r="N20" i="3"/>
  <c r="E20" i="3"/>
  <c r="N19" i="3"/>
  <c r="E19" i="3"/>
  <c r="N21" i="3" l="1"/>
  <c r="F20" i="3"/>
  <c r="O20" i="3"/>
  <c r="P20" i="3"/>
  <c r="R20" i="3" s="1"/>
  <c r="E21" i="3"/>
  <c r="P19" i="3"/>
  <c r="O19" i="3" s="1"/>
  <c r="R19" i="3" l="1"/>
  <c r="P21" i="3"/>
  <c r="F19" i="3"/>
</calcChain>
</file>

<file path=xl/comments1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без АУП и прочего персонала на местном бюджете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310+340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ауп + прочий персонал местный бюджет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213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221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226+290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техническая 255 чел
16830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естественнонаучная 150 чел
10200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физкультурная 74 чел
32708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социальня 74 чел
12580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без АУП и прочего персонала на местном бюджете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310+340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ауп + прочий персонал местный бюджет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213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221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226+290</t>
        </r>
      </text>
    </comment>
  </commentList>
</comments>
</file>

<file path=xl/sharedStrings.xml><?xml version="1.0" encoding="utf-8"?>
<sst xmlns="http://schemas.openxmlformats.org/spreadsheetml/2006/main" count="341" uniqueCount="127">
  <si>
    <t>РАСЧЕТ  НОРМАТИВНЫХ ЗАТРАТ, СВЯЗАННЫХ С ОКАЗАНИЕМ МУНИЦИПАЛЬНЫХ УСЛУГ 
на 2024 год</t>
  </si>
  <si>
    <t>МБОУ "СШ № 25"</t>
  </si>
  <si>
    <t>Наименование муниципальной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</si>
  <si>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</si>
  <si>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</si>
  <si>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t>Итого затраты учреждения на оказание муниципальных услуг</t>
  </si>
  <si>
    <t>Объем муниципальных услуг</t>
  </si>
  <si>
    <t xml:space="preserve">Нормативные затраты на единицу оказания муниципальной услуги </t>
  </si>
  <si>
    <t>Затраты на оплату труда и начисления на выплаты по оплате труда1</t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</si>
  <si>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</si>
  <si>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</si>
  <si>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</t>
    </r>
  </si>
  <si>
    <t>Оплата труда и начисления на выплаты по оплате труда3</t>
  </si>
  <si>
    <t>Коммунальные услуги</t>
  </si>
  <si>
    <t>Содержание объектов недвижимого имущества</t>
  </si>
  <si>
    <t>Содержание особо ценного движимого имущества</t>
  </si>
  <si>
    <t>Приобретение услуг связи</t>
  </si>
  <si>
    <t>Приобретение транспортных услуг</t>
  </si>
  <si>
    <t>Прочие затраты на общехозяйственные нужды</t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</si>
  <si>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4</t>
    </r>
  </si>
  <si>
    <t>(гр.5+гр.14)</t>
  </si>
  <si>
    <t>тыс.руб.</t>
  </si>
  <si>
    <t xml:space="preserve">
гр.5/гр.17</t>
  </si>
  <si>
    <t xml:space="preserve">
гр.14/гр.17</t>
  </si>
  <si>
    <t>единиц</t>
  </si>
  <si>
    <t>тыс.руб.  
на единицу</t>
  </si>
  <si>
    <t xml:space="preserve">Очередной финансовый год </t>
  </si>
  <si>
    <t>Услуга: Реализация основных общеобразовательных программ  начального общего образования
(801012О.99.0.БА81АЦ60001)</t>
  </si>
  <si>
    <t>Услуга: Реализация адаптированных основных общеобразовательных программ начального общего образования 
(801012О.99.0.БА81АА00001)</t>
  </si>
  <si>
    <t>Услуга: Реализация основных общеобразовательных программ  основного общего образования
(802111О.99.0.БА96АЧ08001)</t>
  </si>
  <si>
    <t>Услуга: Реализация основных общеобразовательных программ  основного общего образования
(802111О.99.0.БА96АА00001 адаптированная программа)</t>
  </si>
  <si>
    <t>Услуга:Реализация основных общеобразовательных программ среднего общего образования (802112О.99.0.ББ11АЧ08001)</t>
  </si>
  <si>
    <t>Услуга:Предоставление питания (560200О.99.0.БА89АА00000)</t>
  </si>
  <si>
    <t>Услуга:Предоставление питания (560200О.99.0.ББ03АА00000)</t>
  </si>
  <si>
    <t>Услуга:Предоставление питания (560200О.99.0.ББ18АА00000)</t>
  </si>
  <si>
    <t>Услуга: Организация отдыха детей и молодежи
(920700О.99.0А322АА01001)</t>
  </si>
  <si>
    <t>Услуга: Организация отдыха детей и молодежи
(920700О.99.0А322АА00001)</t>
  </si>
  <si>
    <t>Услуга: Реализация дополнительных общеразвивающих программ
(854100О.99.0.ББ52БЭ28000) кадеты</t>
  </si>
  <si>
    <t>ИТОГО</t>
  </si>
  <si>
    <r>
      <t xml:space="preserve">1.        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Times New Roman"/>
        <family val="1"/>
        <charset val="204"/>
      </rPr>
      <t>.</t>
    </r>
  </si>
  <si>
    <r>
      <t xml:space="preserve">2.         </t>
    </r>
    <r>
      <rPr>
        <sz val="10"/>
        <color theme="1"/>
        <rFont val="Times New Roman"/>
        <family val="1"/>
        <charset val="204"/>
      </rPr>
      <t>Гр. 5 = гр.2+гр.3+гр.4</t>
    </r>
  </si>
  <si>
    <r>
      <t xml:space="preserve">3.        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</si>
  <si>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r>
      <t>4.</t>
    </r>
    <r>
      <rPr>
        <vertAlign val="superscript"/>
        <sz val="7"/>
        <color theme="1"/>
        <rFont val="Times New Roman"/>
        <family val="1"/>
        <charset val="204"/>
      </rPr>
      <t xml:space="preserve">                  </t>
    </r>
    <r>
      <rPr>
        <sz val="10"/>
        <color theme="1"/>
        <rFont val="Times New Roman"/>
        <family val="1"/>
        <charset val="204"/>
      </rPr>
      <t>Гр. 14 = гр.7+гр.8+гр.9+гр.10+гр.11+гр.12+гр.13</t>
    </r>
  </si>
  <si>
    <r>
      <t>5.</t>
    </r>
    <r>
      <rPr>
        <vertAlign val="superscript"/>
        <sz val="7"/>
        <color theme="1"/>
        <rFont val="Times New Roman"/>
        <family val="1"/>
        <charset val="204"/>
      </rPr>
      <t xml:space="preserve">                  </t>
    </r>
    <r>
      <rPr>
        <sz val="10"/>
        <color theme="1"/>
        <rFont val="Times New Roman"/>
        <family val="1"/>
        <charset val="204"/>
      </rPr>
      <t>Гр.16/гр.17.</t>
    </r>
  </si>
  <si>
    <t>постановлением администрации</t>
  </si>
  <si>
    <t>городского округа ЗАТО Свободный</t>
  </si>
  <si>
    <t>УТВЕРЖДЕНО</t>
  </si>
  <si>
    <t xml:space="preserve"> </t>
  </si>
  <si>
    <t>РАСЧЕТ НОРМАТИВНЫХ ЗАТРАТ, СВЯЗАННЫХ С ОКАЗАНИЕМ МУНИЦИПАЛЬНЫХ УСЛУГ</t>
  </si>
  <si>
    <t>Муниципальным бюджетным учреждением дополнительного образования «Детско-юношеская спортивная школа»</t>
  </si>
  <si>
    <t>Нормативные затраты на единицу оказания муниципальной услуги</t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</si>
  <si>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Liberation Serif"/>
        <family val="1"/>
        <charset val="204"/>
      </rPr>
      <t>1</t>
    </r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</si>
  <si>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2</t>
    </r>
    <r>
      <rPr>
        <sz val="10"/>
        <color theme="1"/>
        <rFont val="Liberation Serif"/>
        <family val="1"/>
        <charset val="204"/>
      </rPr>
      <t xml:space="preserve"> </t>
    </r>
  </si>
  <si>
    <r>
      <t>Оплата труда с начисленими на выплаты по оплате труда</t>
    </r>
    <r>
      <rPr>
        <vertAlign val="superscript"/>
        <sz val="10"/>
        <color theme="1"/>
        <rFont val="Liberation Serif"/>
        <family val="1"/>
        <charset val="204"/>
      </rPr>
      <t>3</t>
    </r>
  </si>
  <si>
    <t>Содержание объектов особо ценного движимого имущества</t>
  </si>
  <si>
    <t>Прочие 
общехозяйственные нужды</t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</si>
  <si>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4</t>
    </r>
  </si>
  <si>
    <t>%
гр.5/гр.16</t>
  </si>
  <si>
    <t>%
гр.14/гр.16</t>
  </si>
  <si>
    <t xml:space="preserve">единиц
</t>
  </si>
  <si>
    <t>тыс.руб. 
на
единицу</t>
  </si>
  <si>
    <t>Реализация дополнительных общеразвивающих программ (804200О.99.0.ББ52АЕ52000)</t>
  </si>
  <si>
    <t>103 286       (чел.-час)</t>
  </si>
  <si>
    <t>Организация отдыха детей и молодежи (920700О.99.0.АЗ22АА00001)</t>
  </si>
  <si>
    <t>50 (чел.)</t>
  </si>
  <si>
    <t>-</t>
  </si>
  <si>
    <r>
      <t>1.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Liberation Serif"/>
        <family val="1"/>
        <charset val="204"/>
      </rPr>
      <t>.</t>
    </r>
  </si>
  <si>
    <r>
      <t>2.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 5 = гр.2+гр.3+гр.4</t>
    </r>
  </si>
  <si>
    <r>
      <t>3.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персоналу  не занятому непосредственно в процессе оказания муниципальных услуг.</t>
    </r>
  </si>
  <si>
    <r>
      <t>4.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 14 = гр.7+гр.8+гр.9+гр.10+гр.11+гр.12+гр.13</t>
    </r>
  </si>
  <si>
    <r>
      <t>5.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Гр.16/гр.17.</t>
    </r>
  </si>
  <si>
    <t>Главный бухгалтер</t>
  </si>
  <si>
    <t xml:space="preserve">                  </t>
  </si>
  <si>
    <r>
      <t>5.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Гр.16/гр.17.</t>
    </r>
  </si>
  <si>
    <r>
      <t>4.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 14 = гр.7+гр.8+гр.9+гр.10+гр.11+гр.12+гр.13</t>
    </r>
  </si>
  <si>
    <r>
      <t>3.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</si>
  <si>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r>
      <t>2.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 5 = гр.2+гр.3+гр.4</t>
    </r>
  </si>
  <si>
    <r>
      <t>1.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Times New Roman"/>
        <family val="1"/>
        <charset val="204"/>
      </rPr>
      <t>.</t>
    </r>
  </si>
  <si>
    <t>Присмотр и уход 
(50Д40001100300006009101
 от 3 лет до 8 лет)</t>
  </si>
  <si>
    <t>Присмотр и уход 
(50Д40001100200006001101
 от 1 года до 3 лет)</t>
  </si>
  <si>
    <t>Реализация основных общеобразовательных программ дошкольного образования
(50Д45000100400301060100-
адаптированная программа 
от 3 лет до 8 лет)</t>
  </si>
  <si>
    <t>Реализация основных общеобразовательных программ дошкольного образования
(50Д45000300300301060100-
от 3 лет до 8 лет)</t>
  </si>
  <si>
    <t>Реализация основных общеобразовательных программ дошкольного образования
(50Д45000300300201061100-
от 1 года до 3 лет)</t>
  </si>
  <si>
    <t>%
гр.14/гр.17</t>
  </si>
  <si>
    <t>%
гр.5/гр.17</t>
  </si>
  <si>
    <r>
      <t>Оплата труда с начисленими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</si>
  <si>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</t>
    </r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</si>
  <si>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1</t>
    </r>
  </si>
  <si>
    <t>Нормативные затраты на единицу оказания муниципальной услуги 5</t>
  </si>
  <si>
    <t>Муниципальным бюджетным дошкольным образовательным учреждением "Детский сад №17 "Алёнушка"</t>
  </si>
  <si>
    <t>РАСЧЕТ НОРМАТИВНЫХ ЗАТРАТ, СВЯЗАННЫХ С ОКАЗАНИЕМ МУНИЦИПАЛЬНЫХ УСЛУГ НА 2024 ГОД</t>
  </si>
  <si>
    <t>Муниципальным казенным учреждением дополнительного образования Станция юных техников</t>
  </si>
  <si>
    <t>единиц
(чел.-час)</t>
  </si>
  <si>
    <t>Реализация дополнительных общеразвивающих программ (801012О.99.0.ББ57АЕ04000)</t>
  </si>
  <si>
    <t>Реализация образовательной программы профессиональной подготовки водителей транспортных средств категории «В» (804200О.99.0.ББ65АА01000)</t>
  </si>
  <si>
    <t>Директор</t>
  </si>
  <si>
    <t>Л.В. Титкова</t>
  </si>
  <si>
    <t>Е.В. Новикова</t>
  </si>
  <si>
    <t>РАСЧЕТ БАЗОВЫХ НОРМАТИВНЫХ ЗАТРАТ, СВЯЗАННЫХ С ОКАЗАНИЕМ МУНИЦИПАЛЬНЫХ УСЛУГ на 2024 год</t>
  </si>
  <si>
    <t>Муниципальное бюджетное учреждение дополнительного образования "Детская школа искусств"</t>
  </si>
  <si>
    <t>Реализация дополнительных общеобразовательных предпрофессиональных программ в области искусств
 (801012О.99.0.ББ56АЕ20001 - 
духовые и ударные инструменты)</t>
  </si>
  <si>
    <t>Реализация дополнительных общеобразовательных предпрофессиональных программ в области искусств 
(801012О.99.0.ББ56АВ76000 - 
Струнные инструменты)</t>
  </si>
  <si>
    <t>Реализация дополнительных общеобразовательных предпрофессиональных программ в области искусств 
(801012О.99.0.ББ56АА32001 - 
Фортепиано)</t>
  </si>
  <si>
    <t>Реализация дополнительных общеобразовательных предпрофессиональных программ в области искусств 
(801012О.99.0.ББ56АЕ84001 - 
Народные инструменты)</t>
  </si>
  <si>
    <t>Реализация дополнительных общеобразовательных предпрофессиональных программ в области искусств 
( Декоративно - прикладное творчество)</t>
  </si>
  <si>
    <t>Реализация дополнительных общеобразовательных предпрофессиональных программ в области искусств 
(Хореография)</t>
  </si>
  <si>
    <t>Реализация дополнительных общеразвивающих программ                                       (804200О.99.0.ББ52АЖ48000)</t>
  </si>
  <si>
    <t>ИТОГО:</t>
  </si>
  <si>
    <t xml:space="preserve">РАСЧЕТ  НОРМАТИВНЫХ ЗАТРАТ, СВЯЗАННЫХ С ОКАЗАНИЕМ МУНИЦИПАЛЬНЫХ УСЛУГ 
на 2023 год </t>
  </si>
  <si>
    <t>Муниципальное бюджетное учреждение культуры Дворец культуры "Свободный"</t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</si>
  <si>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</si>
  <si>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4</t>
    </r>
  </si>
  <si>
    <r>
      <rPr>
        <b/>
        <sz val="12"/>
        <color theme="1"/>
        <rFont val="Times New Roman"/>
        <family val="1"/>
        <charset val="204"/>
      </rPr>
      <t>Работа 1</t>
    </r>
    <r>
      <rPr>
        <sz val="12"/>
        <color theme="1"/>
        <rFont val="Times New Roman"/>
        <family val="1"/>
        <charset val="204"/>
      </rPr>
      <t>: Организация деятельности клубных формирований и формирований самодеятельного народного творчества.</t>
    </r>
  </si>
  <si>
    <r>
      <rPr>
        <b/>
        <sz val="12"/>
        <color theme="1"/>
        <rFont val="Times New Roman"/>
        <family val="1"/>
        <charset val="204"/>
      </rPr>
      <t>Работа 2</t>
    </r>
    <r>
      <rPr>
        <sz val="12"/>
        <color theme="1"/>
        <rFont val="Times New Roman"/>
        <family val="1"/>
        <charset val="204"/>
      </rPr>
      <t>: Организация показа концертов и концертных программ.</t>
    </r>
  </si>
  <si>
    <r>
      <rPr>
        <b/>
        <sz val="12"/>
        <color theme="1"/>
        <rFont val="Times New Roman"/>
        <family val="1"/>
        <charset val="204"/>
      </rPr>
      <t>Работа 3</t>
    </r>
    <r>
      <rPr>
        <sz val="12"/>
        <color theme="1"/>
        <rFont val="Times New Roman"/>
        <family val="1"/>
        <charset val="204"/>
      </rPr>
      <t>:Библиотечное, библиографическое и информационное обслуживание пользователей библиотеки.</t>
    </r>
  </si>
  <si>
    <r>
      <rPr>
        <b/>
        <sz val="12"/>
        <color theme="1"/>
        <rFont val="Times New Roman"/>
        <family val="1"/>
        <charset val="204"/>
      </rPr>
      <t>Работа 4</t>
    </r>
    <r>
      <rPr>
        <sz val="12"/>
        <color theme="1"/>
        <rFont val="Times New Roman"/>
        <family val="1"/>
        <charset val="204"/>
      </rPr>
      <t>:Организация и проведение культурно-массовых мероприятий.</t>
    </r>
  </si>
  <si>
    <r>
      <rPr>
        <b/>
        <sz val="12"/>
        <color theme="1"/>
        <rFont val="Times New Roman"/>
        <family val="1"/>
        <charset val="204"/>
      </rPr>
      <t>Работа 5</t>
    </r>
    <r>
      <rPr>
        <sz val="12"/>
        <color theme="1"/>
        <rFont val="Times New Roman"/>
        <family val="1"/>
        <charset val="204"/>
      </rPr>
      <t>: Формирование, учет,изучение, обеспечение физического сохранения и безопасности фондов библиотеки, включая оцифровку фондов.</t>
    </r>
  </si>
  <si>
    <r>
      <rPr>
        <b/>
        <sz val="12"/>
        <color theme="1"/>
        <rFont val="Times New Roman"/>
        <family val="1"/>
        <charset val="204"/>
      </rPr>
      <t>Работа 6</t>
    </r>
    <r>
      <rPr>
        <sz val="12"/>
        <color theme="1"/>
        <rFont val="Times New Roman"/>
        <family val="1"/>
        <charset val="204"/>
      </rPr>
      <t>: Библиографическая обработка документови создание каталогов.</t>
    </r>
  </si>
  <si>
    <r>
      <t xml:space="preserve">1.         </t>
    </r>
    <r>
      <rPr>
        <sz val="12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2"/>
        <color theme="1"/>
        <rFont val="Times New Roman"/>
        <family val="1"/>
        <charset val="204"/>
      </rPr>
      <t>.</t>
    </r>
  </si>
  <si>
    <r>
      <t xml:space="preserve">2.         </t>
    </r>
    <r>
      <rPr>
        <sz val="12"/>
        <color theme="1"/>
        <rFont val="Times New Roman"/>
        <family val="1"/>
        <charset val="204"/>
      </rPr>
      <t>Гр. 5 = гр.2+гр.3+гр.4</t>
    </r>
  </si>
  <si>
    <r>
      <t xml:space="preserve">3.         </t>
    </r>
    <r>
      <rPr>
        <sz val="12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</si>
  <si>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r>
      <t xml:space="preserve">4.                  </t>
    </r>
    <r>
      <rPr>
        <sz val="12"/>
        <color theme="1"/>
        <rFont val="Times New Roman"/>
        <family val="1"/>
        <charset val="204"/>
      </rPr>
      <t>Гр. 14 = гр.7+гр.8+гр.9+гр.10+гр.11+гр.12+гр.13</t>
    </r>
  </si>
  <si>
    <r>
      <t xml:space="preserve">5.                  </t>
    </r>
    <r>
      <rPr>
        <sz val="12"/>
        <color theme="1"/>
        <rFont val="Times New Roman"/>
        <family val="1"/>
        <charset val="204"/>
      </rPr>
      <t>Гр.16/гр.17.</t>
    </r>
  </si>
  <si>
    <t>Услуга: Реализация дополнительных общеразвивающих программ
(804200О.99.0.ББ52АЕ04000) Точка роста</t>
  </si>
  <si>
    <t>Услуга: Реализация дополнительных общеразвивающих программ
(804200О.99.0.ББ52АЕ28000) Точка роста</t>
  </si>
  <si>
    <t>Услуга: Реализация дополнительных общеразвивающих программ
(804200О.99.0.ББ52АЕ52000) кадеты</t>
  </si>
  <si>
    <t>от «_21_» декабря 2023 года №_731__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</si>
</sst>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  <numFmt numFmtId="167" formatCode="#,##0.0"/>
    <numFmt numFmtId="168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vertAlign val="superscript"/>
      <sz val="10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8"/>
      <color theme="1"/>
      <name val="Liberation Serif"/>
      <family val="1"/>
      <charset val="204"/>
    </font>
    <font>
      <vertAlign val="superscript"/>
      <sz val="7"/>
      <color theme="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0"/>
      <color rgb="FF000000"/>
      <name val="Arial Cyr"/>
    </font>
    <font>
      <sz val="8"/>
      <color rgb="FF000000"/>
      <name val="Arial Cyr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0" fillId="0" borderId="54">
      <alignment horizontal="center"/>
    </xf>
    <xf numFmtId="0" fontId="21" fillId="0" borderId="0"/>
    <xf numFmtId="0" fontId="1" fillId="0" borderId="0"/>
    <xf numFmtId="0" fontId="31" fillId="0" borderId="0"/>
  </cellStyleXfs>
  <cellXfs count="33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 wrapText="1"/>
    </xf>
    <xf numFmtId="0" fontId="2" fillId="0" borderId="17" xfId="0" applyFont="1" applyBorder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2" fillId="0" borderId="20" xfId="0" applyFont="1" applyBorder="1"/>
    <xf numFmtId="0" fontId="2" fillId="0" borderId="21" xfId="0" applyFont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vertical="center"/>
    </xf>
    <xf numFmtId="2" fontId="0" fillId="0" borderId="0" xfId="0" applyNumberFormat="1"/>
    <xf numFmtId="0" fontId="2" fillId="0" borderId="23" xfId="0" applyFont="1" applyBorder="1" applyAlignment="1">
      <alignment horizontal="left" vertical="center" wrapText="1"/>
    </xf>
    <xf numFmtId="2" fontId="2" fillId="0" borderId="22" xfId="0" applyNumberFormat="1" applyFont="1" applyBorder="1" applyAlignment="1">
      <alignment horizontal="left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vertical="center"/>
    </xf>
    <xf numFmtId="4" fontId="2" fillId="2" borderId="25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2"/>
    </xf>
    <xf numFmtId="0" fontId="0" fillId="0" borderId="0" xfId="0" applyFill="1"/>
    <xf numFmtId="2" fontId="0" fillId="2" borderId="0" xfId="0" applyNumberFormat="1" applyFill="1"/>
    <xf numFmtId="0" fontId="0" fillId="2" borderId="0" xfId="0" applyFill="1"/>
    <xf numFmtId="2" fontId="2" fillId="0" borderId="22" xfId="0" applyNumberFormat="1" applyFont="1" applyFill="1" applyBorder="1" applyAlignment="1">
      <alignment horizontal="left" vertical="center" wrapText="1"/>
    </xf>
    <xf numFmtId="2" fontId="0" fillId="0" borderId="0" xfId="0" applyNumberFormat="1" applyFill="1"/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/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top" wrapText="1"/>
    </xf>
    <xf numFmtId="0" fontId="10" fillId="0" borderId="17" xfId="0" applyFont="1" applyBorder="1"/>
    <xf numFmtId="0" fontId="10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40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/>
    <xf numFmtId="0" fontId="10" fillId="0" borderId="43" xfId="0" applyFont="1" applyBorder="1"/>
    <xf numFmtId="0" fontId="10" fillId="0" borderId="44" xfId="0" applyFont="1" applyBorder="1"/>
    <xf numFmtId="0" fontId="10" fillId="0" borderId="21" xfId="0" applyFont="1" applyBorder="1" applyAlignment="1">
      <alignment horizontal="center" vertical="center" wrapText="1"/>
    </xf>
    <xf numFmtId="4" fontId="16" fillId="0" borderId="45" xfId="1" applyNumberFormat="1" applyFont="1" applyBorder="1" applyAlignment="1">
      <alignment horizontal="right" vertical="center" wrapText="1"/>
    </xf>
    <xf numFmtId="4" fontId="16" fillId="0" borderId="45" xfId="1" applyNumberFormat="1" applyFont="1" applyBorder="1" applyAlignment="1">
      <alignment horizontal="right" vertical="center"/>
    </xf>
    <xf numFmtId="4" fontId="16" fillId="0" borderId="22" xfId="1" applyNumberFormat="1" applyFont="1" applyBorder="1" applyAlignment="1">
      <alignment horizontal="right" vertical="center" wrapText="1"/>
    </xf>
    <xf numFmtId="165" fontId="16" fillId="0" borderId="46" xfId="1" applyNumberFormat="1" applyFont="1" applyBorder="1" applyAlignment="1">
      <alignment horizontal="center" vertical="center" wrapText="1"/>
    </xf>
    <xf numFmtId="164" fontId="16" fillId="0" borderId="47" xfId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4" fontId="16" fillId="0" borderId="49" xfId="1" applyNumberFormat="1" applyFont="1" applyBorder="1" applyAlignment="1">
      <alignment horizontal="right" vertical="center" wrapText="1"/>
    </xf>
    <xf numFmtId="4" fontId="16" fillId="0" borderId="49" xfId="1" applyNumberFormat="1" applyFont="1" applyBorder="1" applyAlignment="1">
      <alignment horizontal="right" vertical="center"/>
    </xf>
    <xf numFmtId="165" fontId="16" fillId="0" borderId="50" xfId="1" applyNumberFormat="1" applyFont="1" applyBorder="1" applyAlignment="1">
      <alignment horizontal="center" vertical="center" wrapText="1"/>
    </xf>
    <xf numFmtId="164" fontId="16" fillId="0" borderId="51" xfId="1" applyFont="1" applyBorder="1" applyAlignment="1">
      <alignment horizontal="center" vertical="center"/>
    </xf>
    <xf numFmtId="0" fontId="17" fillId="0" borderId="17" xfId="0" applyFont="1" applyBorder="1" applyAlignment="1">
      <alignment horizontal="right" vertical="center" wrapText="1"/>
    </xf>
    <xf numFmtId="4" fontId="10" fillId="2" borderId="52" xfId="1" applyNumberFormat="1" applyFont="1" applyFill="1" applyBorder="1" applyAlignment="1">
      <alignment horizontal="right" vertical="center" wrapText="1"/>
    </xf>
    <xf numFmtId="4" fontId="10" fillId="2" borderId="25" xfId="1" applyNumberFormat="1" applyFont="1" applyFill="1" applyBorder="1" applyAlignment="1">
      <alignment horizontal="right" vertical="center" wrapText="1"/>
    </xf>
    <xf numFmtId="4" fontId="10" fillId="0" borderId="25" xfId="1" applyNumberFormat="1" applyFont="1" applyBorder="1" applyAlignment="1">
      <alignment horizontal="right" vertical="center"/>
    </xf>
    <xf numFmtId="4" fontId="10" fillId="0" borderId="25" xfId="1" applyNumberFormat="1" applyFont="1" applyBorder="1" applyAlignment="1">
      <alignment horizontal="right" vertical="center" wrapText="1"/>
    </xf>
    <xf numFmtId="165" fontId="10" fillId="0" borderId="53" xfId="1" applyNumberFormat="1" applyFont="1" applyBorder="1" applyAlignment="1">
      <alignment horizontal="right" vertical="center" wrapText="1"/>
    </xf>
    <xf numFmtId="164" fontId="10" fillId="0" borderId="26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left" vertical="center" indent="2"/>
    </xf>
    <xf numFmtId="0" fontId="19" fillId="2" borderId="0" xfId="0" applyFont="1" applyFill="1"/>
    <xf numFmtId="43" fontId="9" fillId="0" borderId="0" xfId="0" applyNumberFormat="1" applyFont="1"/>
    <xf numFmtId="43" fontId="19" fillId="2" borderId="0" xfId="0" applyNumberFormat="1" applyFont="1" applyFill="1"/>
    <xf numFmtId="164" fontId="2" fillId="0" borderId="26" xfId="1" applyNumberFormat="1" applyFont="1" applyBorder="1" applyAlignment="1">
      <alignment vertical="center" wrapText="1"/>
    </xf>
    <xf numFmtId="165" fontId="2" fillId="0" borderId="53" xfId="1" applyNumberFormat="1" applyFont="1" applyBorder="1" applyAlignment="1">
      <alignment vertical="center" wrapText="1"/>
    </xf>
    <xf numFmtId="164" fontId="2" fillId="0" borderId="25" xfId="1" applyNumberFormat="1" applyFont="1" applyBorder="1" applyAlignment="1">
      <alignment horizontal="center" vertical="center" wrapText="1"/>
    </xf>
    <xf numFmtId="2" fontId="2" fillId="0" borderId="25" xfId="1" applyNumberFormat="1" applyFont="1" applyBorder="1" applyAlignment="1">
      <alignment horizontal="center" vertical="center"/>
    </xf>
    <xf numFmtId="2" fontId="2" fillId="2" borderId="25" xfId="1" applyNumberFormat="1" applyFont="1" applyFill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2" borderId="25" xfId="1" applyNumberFormat="1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164" fontId="2" fillId="2" borderId="47" xfId="1" applyNumberFormat="1" applyFont="1" applyFill="1" applyBorder="1" applyAlignment="1">
      <alignment vertical="center"/>
    </xf>
    <xf numFmtId="165" fontId="2" fillId="2" borderId="50" xfId="1" applyNumberFormat="1" applyFont="1" applyFill="1" applyBorder="1" applyAlignment="1">
      <alignment vertical="center" wrapText="1"/>
    </xf>
    <xf numFmtId="164" fontId="2" fillId="2" borderId="49" xfId="1" applyFont="1" applyFill="1" applyBorder="1" applyAlignment="1">
      <alignment horizontal="center" vertical="center" wrapText="1"/>
    </xf>
    <xf numFmtId="2" fontId="2" fillId="2" borderId="45" xfId="1" applyNumberFormat="1" applyFont="1" applyFill="1" applyBorder="1" applyAlignment="1">
      <alignment horizontal="center" vertical="center"/>
    </xf>
    <xf numFmtId="2" fontId="2" fillId="2" borderId="49" xfId="1" applyNumberFormat="1" applyFont="1" applyFill="1" applyBorder="1" applyAlignment="1">
      <alignment horizontal="center" vertical="center" wrapText="1"/>
    </xf>
    <xf numFmtId="2" fontId="2" fillId="2" borderId="22" xfId="1" applyNumberFormat="1" applyFont="1" applyFill="1" applyBorder="1" applyAlignment="1">
      <alignment horizontal="center" vertical="center" wrapText="1"/>
    </xf>
    <xf numFmtId="164" fontId="2" fillId="2" borderId="45" xfId="1" applyFont="1" applyFill="1" applyBorder="1" applyAlignment="1">
      <alignment horizontal="center" vertical="center"/>
    </xf>
    <xf numFmtId="164" fontId="2" fillId="2" borderId="49" xfId="1" applyFont="1" applyFill="1" applyBorder="1" applyAlignment="1">
      <alignment horizontal="center" vertical="center"/>
    </xf>
    <xf numFmtId="164" fontId="2" fillId="2" borderId="45" xfId="1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wrapText="1"/>
    </xf>
    <xf numFmtId="165" fontId="2" fillId="2" borderId="46" xfId="1" applyNumberFormat="1" applyFont="1" applyFill="1" applyBorder="1" applyAlignment="1">
      <alignment vertical="center" wrapText="1"/>
    </xf>
    <xf numFmtId="2" fontId="2" fillId="2" borderId="45" xfId="1" applyNumberFormat="1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wrapText="1"/>
    </xf>
    <xf numFmtId="165" fontId="2" fillId="2" borderId="57" xfId="1" applyNumberFormat="1" applyFont="1" applyFill="1" applyBorder="1" applyAlignment="1">
      <alignment vertical="center"/>
    </xf>
    <xf numFmtId="0" fontId="24" fillId="2" borderId="21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3" xfId="0" applyBorder="1"/>
    <xf numFmtId="0" fontId="0" fillId="0" borderId="20" xfId="0" applyBorder="1"/>
    <xf numFmtId="0" fontId="24" fillId="0" borderId="2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7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4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0" fillId="0" borderId="17" xfId="0" applyBorder="1"/>
    <xf numFmtId="0" fontId="0" fillId="0" borderId="38" xfId="0" applyBorder="1" applyAlignment="1">
      <alignment vertical="top" wrapText="1"/>
    </xf>
    <xf numFmtId="0" fontId="22" fillId="0" borderId="3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9" fillId="0" borderId="0" xfId="0" applyFont="1"/>
    <xf numFmtId="0" fontId="15" fillId="0" borderId="19" xfId="0" applyFont="1" applyBorder="1" applyAlignment="1">
      <alignment horizontal="center" vertical="center" wrapText="1"/>
    </xf>
    <xf numFmtId="164" fontId="2" fillId="0" borderId="22" xfId="1" applyFont="1" applyBorder="1" applyAlignment="1">
      <alignment horizontal="center" vertical="center" wrapText="1"/>
    </xf>
    <xf numFmtId="164" fontId="2" fillId="0" borderId="22" xfId="1" applyFont="1" applyBorder="1" applyAlignment="1">
      <alignment horizontal="center" vertical="center"/>
    </xf>
    <xf numFmtId="2" fontId="2" fillId="0" borderId="22" xfId="1" applyNumberFormat="1" applyFont="1" applyBorder="1" applyAlignment="1">
      <alignment horizontal="center" vertical="center" wrapText="1"/>
    </xf>
    <xf numFmtId="165" fontId="2" fillId="0" borderId="46" xfId="1" applyNumberFormat="1" applyFont="1" applyBorder="1" applyAlignment="1">
      <alignment vertical="center" wrapText="1"/>
    </xf>
    <xf numFmtId="164" fontId="2" fillId="0" borderId="58" xfId="1" applyFont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166" fontId="2" fillId="0" borderId="22" xfId="1" applyNumberFormat="1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164" fontId="10" fillId="2" borderId="25" xfId="1" applyNumberFormat="1" applyFont="1" applyFill="1" applyBorder="1" applyAlignment="1">
      <alignment horizontal="center" vertical="center" wrapText="1"/>
    </xf>
    <xf numFmtId="166" fontId="10" fillId="2" borderId="25" xfId="1" applyNumberFormat="1" applyFont="1" applyFill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left" vertical="center" wrapText="1"/>
    </xf>
    <xf numFmtId="0" fontId="29" fillId="2" borderId="0" xfId="0" applyFont="1" applyFill="1"/>
    <xf numFmtId="0" fontId="22" fillId="2" borderId="27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top" wrapText="1"/>
    </xf>
    <xf numFmtId="0" fontId="24" fillId="2" borderId="17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 wrapText="1"/>
    </xf>
    <xf numFmtId="0" fontId="24" fillId="2" borderId="40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24" fillId="2" borderId="41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2" borderId="43" xfId="0" applyFill="1" applyBorder="1"/>
    <xf numFmtId="0" fontId="0" fillId="2" borderId="44" xfId="0" applyFill="1" applyBorder="1"/>
    <xf numFmtId="0" fontId="22" fillId="2" borderId="21" xfId="0" applyFont="1" applyFill="1" applyBorder="1" applyAlignment="1">
      <alignment horizontal="center" vertical="center" wrapText="1"/>
    </xf>
    <xf numFmtId="164" fontId="2" fillId="2" borderId="57" xfId="1" applyFont="1" applyFill="1" applyBorder="1" applyAlignment="1">
      <alignment vertical="center"/>
    </xf>
    <xf numFmtId="164" fontId="2" fillId="2" borderId="47" xfId="1" applyFont="1" applyFill="1" applyBorder="1" applyAlignment="1">
      <alignment vertical="center"/>
    </xf>
    <xf numFmtId="164" fontId="2" fillId="2" borderId="46" xfId="1" applyFont="1" applyFill="1" applyBorder="1" applyAlignment="1">
      <alignment vertical="center" wrapText="1"/>
    </xf>
    <xf numFmtId="0" fontId="22" fillId="2" borderId="48" xfId="0" applyFont="1" applyFill="1" applyBorder="1" applyAlignment="1">
      <alignment horizontal="center" vertical="center" wrapText="1"/>
    </xf>
    <xf numFmtId="164" fontId="2" fillId="2" borderId="59" xfId="1" applyFont="1" applyFill="1" applyBorder="1" applyAlignment="1">
      <alignment horizontal="center" vertical="center"/>
    </xf>
    <xf numFmtId="164" fontId="2" fillId="2" borderId="50" xfId="1" applyFont="1" applyFill="1" applyBorder="1" applyAlignment="1">
      <alignment vertical="center" wrapText="1"/>
    </xf>
    <xf numFmtId="0" fontId="22" fillId="2" borderId="55" xfId="0" applyFont="1" applyFill="1" applyBorder="1" applyAlignment="1">
      <alignment horizontal="center" vertical="center" wrapText="1"/>
    </xf>
    <xf numFmtId="164" fontId="2" fillId="2" borderId="25" xfId="1" applyFont="1" applyFill="1" applyBorder="1" applyAlignment="1">
      <alignment horizontal="center" vertical="center" wrapText="1"/>
    </xf>
    <xf numFmtId="164" fontId="2" fillId="2" borderId="25" xfId="1" applyFont="1" applyFill="1" applyBorder="1" applyAlignment="1">
      <alignment horizontal="center" vertical="center"/>
    </xf>
    <xf numFmtId="164" fontId="2" fillId="2" borderId="53" xfId="1" applyFont="1" applyFill="1" applyBorder="1" applyAlignment="1">
      <alignment vertical="center" wrapText="1"/>
    </xf>
    <xf numFmtId="164" fontId="2" fillId="2" borderId="26" xfId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indent="2"/>
    </xf>
    <xf numFmtId="4" fontId="0" fillId="2" borderId="0" xfId="0" applyNumberFormat="1" applyFill="1"/>
    <xf numFmtId="0" fontId="29" fillId="0" borderId="0" xfId="5" applyFont="1"/>
    <xf numFmtId="0" fontId="32" fillId="0" borderId="0" xfId="5" applyFont="1"/>
    <xf numFmtId="0" fontId="29" fillId="0" borderId="7" xfId="5" applyFont="1" applyBorder="1" applyAlignment="1">
      <alignment horizontal="center" vertical="center" wrapText="1"/>
    </xf>
    <xf numFmtId="0" fontId="29" fillId="0" borderId="13" xfId="5" applyFont="1" applyBorder="1" applyAlignment="1">
      <alignment horizontal="center" vertical="center" wrapText="1"/>
    </xf>
    <xf numFmtId="0" fontId="29" fillId="0" borderId="13" xfId="5" applyFont="1" applyBorder="1" applyAlignment="1">
      <alignment vertical="top" wrapText="1"/>
    </xf>
    <xf numFmtId="0" fontId="29" fillId="0" borderId="17" xfId="5" applyFont="1" applyBorder="1"/>
    <xf numFmtId="0" fontId="29" fillId="0" borderId="17" xfId="5" applyFont="1" applyBorder="1" applyAlignment="1">
      <alignment horizontal="center"/>
    </xf>
    <xf numFmtId="0" fontId="29" fillId="0" borderId="17" xfId="5" applyFont="1" applyBorder="1" applyAlignment="1">
      <alignment horizontal="center" wrapText="1"/>
    </xf>
    <xf numFmtId="0" fontId="29" fillId="0" borderId="4" xfId="5" applyFont="1" applyBorder="1" applyAlignment="1">
      <alignment horizontal="center"/>
    </xf>
    <xf numFmtId="0" fontId="29" fillId="0" borderId="22" xfId="5" applyFont="1" applyBorder="1" applyAlignment="1">
      <alignment horizontal="center" wrapText="1"/>
    </xf>
    <xf numFmtId="0" fontId="29" fillId="0" borderId="18" xfId="5" applyFont="1" applyBorder="1" applyAlignment="1">
      <alignment horizontal="center"/>
    </xf>
    <xf numFmtId="0" fontId="29" fillId="0" borderId="61" xfId="5" applyFont="1" applyBorder="1" applyAlignment="1">
      <alignment horizontal="center"/>
    </xf>
    <xf numFmtId="0" fontId="35" fillId="0" borderId="19" xfId="5" applyFont="1" applyBorder="1" applyAlignment="1">
      <alignment horizontal="center" vertical="center" wrapText="1"/>
    </xf>
    <xf numFmtId="0" fontId="29" fillId="0" borderId="20" xfId="5" applyFont="1" applyBorder="1" applyAlignment="1">
      <alignment horizontal="center" vertical="center" wrapText="1"/>
    </xf>
    <xf numFmtId="0" fontId="29" fillId="0" borderId="20" xfId="5" applyFont="1" applyBorder="1"/>
    <xf numFmtId="0" fontId="29" fillId="0" borderId="21" xfId="5" applyFont="1" applyBorder="1" applyAlignment="1">
      <alignment horizontal="left" vertical="center" wrapText="1"/>
    </xf>
    <xf numFmtId="4" fontId="29" fillId="0" borderId="22" xfId="5" applyNumberFormat="1" applyFont="1" applyBorder="1" applyAlignment="1">
      <alignment horizontal="center" vertical="center" wrapText="1"/>
    </xf>
    <xf numFmtId="167" fontId="29" fillId="0" borderId="22" xfId="5" applyNumberFormat="1" applyFont="1" applyBorder="1" applyAlignment="1">
      <alignment horizontal="center" vertical="center" wrapText="1"/>
    </xf>
    <xf numFmtId="4" fontId="29" fillId="0" borderId="22" xfId="5" applyNumberFormat="1" applyFont="1" applyBorder="1" applyAlignment="1">
      <alignment horizontal="center" vertical="center"/>
    </xf>
    <xf numFmtId="2" fontId="29" fillId="0" borderId="22" xfId="5" applyNumberFormat="1" applyFont="1" applyBorder="1" applyAlignment="1">
      <alignment vertical="center"/>
    </xf>
    <xf numFmtId="4" fontId="29" fillId="2" borderId="22" xfId="5" applyNumberFormat="1" applyFont="1" applyFill="1" applyBorder="1" applyAlignment="1">
      <alignment horizontal="center" vertical="center" wrapText="1"/>
    </xf>
    <xf numFmtId="168" fontId="29" fillId="0" borderId="22" xfId="5" applyNumberFormat="1" applyFont="1" applyBorder="1" applyAlignment="1">
      <alignment vertical="center"/>
    </xf>
    <xf numFmtId="3" fontId="29" fillId="0" borderId="22" xfId="5" applyNumberFormat="1" applyFont="1" applyBorder="1" applyAlignment="1">
      <alignment horizontal="center" vertical="center" wrapText="1"/>
    </xf>
    <xf numFmtId="2" fontId="32" fillId="0" borderId="0" xfId="5" applyNumberFormat="1" applyFont="1"/>
    <xf numFmtId="0" fontId="29" fillId="0" borderId="23" xfId="5" applyFont="1" applyBorder="1" applyAlignment="1">
      <alignment horizontal="left" vertical="center" wrapText="1"/>
    </xf>
    <xf numFmtId="2" fontId="29" fillId="0" borderId="22" xfId="5" applyNumberFormat="1" applyFont="1" applyBorder="1" applyAlignment="1">
      <alignment horizontal="left" vertical="center" wrapText="1"/>
    </xf>
    <xf numFmtId="4" fontId="36" fillId="2" borderId="22" xfId="5" applyNumberFormat="1" applyFont="1" applyFill="1" applyBorder="1" applyAlignment="1">
      <alignment horizontal="center" vertical="center" wrapText="1"/>
    </xf>
    <xf numFmtId="4" fontId="32" fillId="0" borderId="22" xfId="5" applyNumberFormat="1" applyFont="1" applyBorder="1" applyAlignment="1">
      <alignment horizontal="center" vertical="center" wrapText="1"/>
    </xf>
    <xf numFmtId="4" fontId="32" fillId="2" borderId="22" xfId="5" applyNumberFormat="1" applyFont="1" applyFill="1" applyBorder="1" applyAlignment="1">
      <alignment horizontal="center" vertical="center" wrapText="1"/>
    </xf>
    <xf numFmtId="3" fontId="32" fillId="0" borderId="22" xfId="5" applyNumberFormat="1" applyFont="1" applyBorder="1" applyAlignment="1">
      <alignment horizontal="center" vertical="center" wrapText="1"/>
    </xf>
    <xf numFmtId="0" fontId="29" fillId="2" borderId="22" xfId="5" applyFont="1" applyFill="1" applyBorder="1" applyAlignment="1">
      <alignment horizontal="center" vertical="center" wrapText="1"/>
    </xf>
    <xf numFmtId="4" fontId="35" fillId="2" borderId="59" xfId="5" applyNumberFormat="1" applyFont="1" applyFill="1" applyBorder="1" applyAlignment="1">
      <alignment horizontal="center" vertical="center" wrapText="1"/>
    </xf>
    <xf numFmtId="4" fontId="29" fillId="2" borderId="59" xfId="5" applyNumberFormat="1" applyFont="1" applyFill="1" applyBorder="1" applyAlignment="1">
      <alignment horizontal="center" vertical="center" wrapText="1"/>
    </xf>
    <xf numFmtId="2" fontId="29" fillId="2" borderId="59" xfId="5" applyNumberFormat="1" applyFont="1" applyFill="1" applyBorder="1" applyAlignment="1">
      <alignment horizontal="right" vertical="center" wrapText="1"/>
    </xf>
    <xf numFmtId="0" fontId="34" fillId="0" borderId="0" xfId="5" applyFont="1" applyAlignment="1">
      <alignment horizontal="left" vertical="center" indent="2"/>
    </xf>
    <xf numFmtId="2" fontId="29" fillId="2" borderId="0" xfId="5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2" fillId="0" borderId="2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left" vertical="center" wrapText="1"/>
    </xf>
    <xf numFmtId="0" fontId="29" fillId="0" borderId="9" xfId="5" applyFont="1" applyBorder="1" applyAlignment="1">
      <alignment horizontal="center" vertical="center" wrapText="1"/>
    </xf>
    <xf numFmtId="0" fontId="29" fillId="0" borderId="0" xfId="5" applyFont="1" applyAlignment="1">
      <alignment horizontal="center" wrapText="1"/>
    </xf>
    <xf numFmtId="0" fontId="29" fillId="0" borderId="0" xfId="5" applyFont="1" applyAlignment="1">
      <alignment horizontal="center"/>
    </xf>
    <xf numFmtId="0" fontId="33" fillId="0" borderId="0" xfId="5" applyFont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3" xfId="5" applyFont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 wrapText="1"/>
    </xf>
    <xf numFmtId="0" fontId="29" fillId="0" borderId="5" xfId="5" applyFont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29" fillId="0" borderId="8" xfId="5" applyFont="1" applyBorder="1" applyAlignment="1">
      <alignment horizontal="center" vertical="center" wrapText="1"/>
    </xf>
    <xf numFmtId="0" fontId="29" fillId="0" borderId="10" xfId="5" applyFont="1" applyBorder="1" applyAlignment="1">
      <alignment horizontal="center" vertical="center" wrapText="1"/>
    </xf>
    <xf numFmtId="0" fontId="29" fillId="0" borderId="56" xfId="5" applyFont="1" applyBorder="1" applyAlignment="1">
      <alignment horizontal="center" vertical="center" wrapText="1"/>
    </xf>
    <xf numFmtId="0" fontId="29" fillId="0" borderId="60" xfId="5" applyFont="1" applyBorder="1" applyAlignment="1">
      <alignment horizontal="center" vertical="center" wrapText="1"/>
    </xf>
    <xf numFmtId="0" fontId="29" fillId="0" borderId="45" xfId="5" applyFont="1" applyBorder="1" applyAlignment="1">
      <alignment horizontal="center" vertical="center" wrapText="1"/>
    </xf>
    <xf numFmtId="0" fontId="29" fillId="0" borderId="7" xfId="5" applyFont="1" applyBorder="1" applyAlignment="1">
      <alignment horizontal="center" vertical="center" wrapText="1"/>
    </xf>
    <xf numFmtId="0" fontId="29" fillId="0" borderId="13" xfId="5" applyFont="1" applyBorder="1" applyAlignment="1">
      <alignment horizontal="center" vertical="center" wrapText="1"/>
    </xf>
    <xf numFmtId="0" fontId="29" fillId="0" borderId="14" xfId="5" applyFont="1" applyBorder="1" applyAlignment="1">
      <alignment horizontal="center" vertical="center" wrapText="1"/>
    </xf>
    <xf numFmtId="0" fontId="29" fillId="0" borderId="11" xfId="5" applyFont="1" applyBorder="1" applyAlignment="1">
      <alignment horizontal="center" vertical="center" wrapText="1"/>
    </xf>
    <xf numFmtId="0" fontId="29" fillId="0" borderId="12" xfId="5" applyFont="1" applyBorder="1" applyAlignment="1">
      <alignment horizontal="center" vertical="center" wrapText="1"/>
    </xf>
    <xf numFmtId="0" fontId="29" fillId="0" borderId="15" xfId="5" applyFont="1" applyBorder="1" applyAlignment="1">
      <alignment horizontal="center" vertical="center" wrapText="1"/>
    </xf>
    <xf numFmtId="0" fontId="29" fillId="0" borderId="16" xfId="5" applyFont="1" applyBorder="1" applyAlignment="1">
      <alignment horizontal="center" vertical="center" wrapText="1"/>
    </xf>
  </cellXfs>
  <cellStyles count="6">
    <cellStyle name="xl100" xfId="2"/>
    <cellStyle name="xl57" xfId="3"/>
    <cellStyle name="Обычный" xfId="0" builtinId="0"/>
    <cellStyle name="Обычный 2" xfId="4"/>
    <cellStyle name="Обычный 3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3;&#1086;&#1088;&#1084;&#1072;&#1090;&#1080;&#1074;&#1085;&#1099;&#1077;%20&#1079;&#1072;&#1090;&#1088;&#1072;&#1090;&#1099;%202024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72;&#1089;&#1095;&#1077;&#1090;%20&#1085;&#1086;&#1088;&#1084;&#1072;&#1090;&#1080;&#1074;&#1085;&#1099;&#1093;%20&#1079;&#1072;&#1090;&#1088;&#1072;&#1090;%202024%20&#1089;%20&#1083;&#1080;&#1089;&#1090;&#1086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5;&#1083;.&#1073;&#1091;&#1093;\2019\&#1054;&#1090;&#1095;&#1077;&#1090;&#1099;\&#1086;&#1073;&#1088;&#1072;&#1079;&#1086;&#1074;&#1072;&#1085;&#1080;&#1077;\&#1053;&#1086;&#1088;&#1084;&#1072;&#1090;&#1080;&#1074;&#1085;&#1099;&#1077;%20&#1079;&#1072;&#1090;&#1088;&#1072;&#1090;&#1099;%202019_&#1087;&#1086;&#1083;&#1085;&#1099;&#1081;%20&#1088;&#1072;&#1089;&#1095;&#1077;&#1090;_21.1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2)"/>
      <sheetName val="2024"/>
      <sheetName val="услуги244 4кфо"/>
      <sheetName val="ученики"/>
    </sheetNames>
    <sheetDataSet>
      <sheetData sheetId="0"/>
      <sheetData sheetId="1">
        <row r="4">
          <cell r="E4">
            <v>472</v>
          </cell>
          <cell r="F4">
            <v>12</v>
          </cell>
          <cell r="G4">
            <v>452</v>
          </cell>
          <cell r="H4">
            <v>16</v>
          </cell>
          <cell r="I4">
            <v>47</v>
          </cell>
          <cell r="K4">
            <v>484</v>
          </cell>
          <cell r="L4">
            <v>468</v>
          </cell>
          <cell r="M4">
            <v>47</v>
          </cell>
        </row>
        <row r="5">
          <cell r="E5">
            <v>32050304.172812816</v>
          </cell>
          <cell r="F5">
            <v>814838.24168168171</v>
          </cell>
          <cell r="G5">
            <v>30692240.436676681</v>
          </cell>
          <cell r="H5">
            <v>1086450.988908909</v>
          </cell>
          <cell r="I5">
            <v>3191449.7799199205</v>
          </cell>
          <cell r="K5">
            <v>3581805.7993193194</v>
          </cell>
          <cell r="L5">
            <v>3463398.9960360359</v>
          </cell>
          <cell r="M5">
            <v>347819.98464464466</v>
          </cell>
        </row>
        <row r="7">
          <cell r="P7">
            <v>922550</v>
          </cell>
        </row>
        <row r="8">
          <cell r="E8">
            <v>2068648.4985785785</v>
          </cell>
          <cell r="F8">
            <v>52592.758438438439</v>
          </cell>
          <cell r="G8">
            <v>1980993.901181181</v>
          </cell>
          <cell r="H8">
            <v>70123.677917917914</v>
          </cell>
          <cell r="I8">
            <v>205988.30388388387</v>
          </cell>
          <cell r="K8">
            <v>2899627.6341141141</v>
          </cell>
          <cell r="L8">
            <v>2803772.1751351357</v>
          </cell>
          <cell r="M8">
            <v>281575.4107507508</v>
          </cell>
          <cell r="Q8">
            <v>0</v>
          </cell>
        </row>
        <row r="9">
          <cell r="E9">
            <v>2483447.7991702035</v>
          </cell>
          <cell r="F9">
            <v>63138.503368733982</v>
          </cell>
          <cell r="G9">
            <v>2084829.1092279616</v>
          </cell>
          <cell r="H9">
            <v>73799.260503644662</v>
          </cell>
          <cell r="I9">
            <v>216785.32772945618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408189.61185060849</v>
          </cell>
          <cell r="F10">
            <v>10377.701996201911</v>
          </cell>
          <cell r="G10">
            <v>342671.01774998399</v>
          </cell>
          <cell r="H10">
            <v>12129.947530972884</v>
          </cell>
          <cell r="I10">
            <v>35631.720872232851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42522.522522522522</v>
          </cell>
          <cell r="F11">
            <v>1081.081081081081</v>
          </cell>
          <cell r="G11">
            <v>40720.720720720718</v>
          </cell>
          <cell r="H11">
            <v>1441.4414414414414</v>
          </cell>
          <cell r="I11">
            <v>4234.2342342342345</v>
          </cell>
        </row>
        <row r="12">
          <cell r="E12">
            <v>83438.638638638644</v>
          </cell>
          <cell r="F12">
            <v>2121.3213213213212</v>
          </cell>
          <cell r="G12">
            <v>79903.103103103102</v>
          </cell>
          <cell r="H12">
            <v>2828.4284284284286</v>
          </cell>
          <cell r="I12">
            <v>8308.5085085085084</v>
          </cell>
        </row>
        <row r="13">
          <cell r="E13">
            <v>18905385.964844849</v>
          </cell>
          <cell r="F13">
            <v>480645.40588588599</v>
          </cell>
          <cell r="G13">
            <v>18104310.288368374</v>
          </cell>
          <cell r="H13">
            <v>640860.54118118132</v>
          </cell>
          <cell r="I13">
            <v>1882527.8397197202</v>
          </cell>
          <cell r="K13">
            <v>0</v>
          </cell>
          <cell r="L13">
            <v>0</v>
          </cell>
          <cell r="M13">
            <v>0</v>
          </cell>
        </row>
        <row r="19">
          <cell r="E19">
            <v>1107529.6657004864</v>
          </cell>
          <cell r="F19">
            <v>28157.53387374118</v>
          </cell>
          <cell r="G19">
            <v>1032853.1762960178</v>
          </cell>
          <cell r="H19">
            <v>36561.174382159923</v>
          </cell>
          <cell r="I19">
            <v>107398.44974759477</v>
          </cell>
          <cell r="K19">
            <v>0</v>
          </cell>
          <cell r="L19">
            <v>0</v>
          </cell>
          <cell r="M19">
            <v>0</v>
          </cell>
          <cell r="P19">
            <v>52000</v>
          </cell>
        </row>
        <row r="20">
          <cell r="N20">
            <v>1889424.17</v>
          </cell>
          <cell r="O20">
            <v>2240875.83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 АЛЕНУШКА"/>
      <sheetName val="Лист1"/>
    </sheetNames>
    <sheetDataSet>
      <sheetData sheetId="0"/>
      <sheetData sheetId="1"/>
      <sheetData sheetId="2">
        <row r="5">
          <cell r="D5">
            <v>21764990.566037737</v>
          </cell>
          <cell r="E5">
            <v>59506410.377358489</v>
          </cell>
          <cell r="F5">
            <v>16902599.056603774</v>
          </cell>
          <cell r="I5">
            <v>5831619</v>
          </cell>
          <cell r="J5">
            <v>15943894.5</v>
          </cell>
          <cell r="K5">
            <v>4528810.5</v>
          </cell>
          <cell r="L5">
            <v>5831619</v>
          </cell>
          <cell r="M5">
            <v>20472705</v>
          </cell>
        </row>
        <row r="6">
          <cell r="D6">
            <v>209282.99886792453</v>
          </cell>
          <cell r="E6">
            <v>572188.69924528303</v>
          </cell>
          <cell r="F6">
            <v>162528.30188679244</v>
          </cell>
        </row>
        <row r="7">
          <cell r="G7"/>
          <cell r="H7"/>
        </row>
        <row r="8">
          <cell r="D8">
            <v>22169.801320754719</v>
          </cell>
          <cell r="E8">
            <v>60613.19754716981</v>
          </cell>
          <cell r="F8">
            <v>17217.001132075471</v>
          </cell>
        </row>
        <row r="9">
          <cell r="L9">
            <v>635594.30188679253</v>
          </cell>
          <cell r="M9">
            <v>2231341.6981132077</v>
          </cell>
        </row>
        <row r="10">
          <cell r="L10">
            <v>563113.20754716976</v>
          </cell>
          <cell r="M10">
            <v>1976886.7924528301</v>
          </cell>
        </row>
        <row r="11">
          <cell r="L11"/>
          <cell r="M11"/>
        </row>
        <row r="12">
          <cell r="L12">
            <v>70752.735849056597</v>
          </cell>
          <cell r="M12">
            <v>248387.26415094337</v>
          </cell>
        </row>
        <row r="16">
          <cell r="L16">
            <v>0</v>
          </cell>
          <cell r="M1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2)"/>
      <sheetName val="2019"/>
      <sheetName val="225"/>
      <sheetName val="область"/>
      <sheetName val="местный"/>
      <sheetName val="Натуральные нормы образование"/>
      <sheetName val="850"/>
      <sheetName val="112,113"/>
      <sheetName val="услуги"/>
      <sheetName val="310,340"/>
      <sheetName val="310,340 (2)"/>
      <sheetName val="Лист1"/>
      <sheetName val="образование"/>
      <sheetName val="питание"/>
      <sheetName val="оздоровление"/>
    </sheetNames>
    <sheetDataSet>
      <sheetData sheetId="0" refreshError="1"/>
      <sheetData sheetId="1" refreshError="1">
        <row r="5">
          <cell r="E5">
            <v>23094332.088568486</v>
          </cell>
        </row>
        <row r="13">
          <cell r="K1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topLeftCell="A3" zoomScale="82" zoomScaleNormal="82" zoomScaleSheetLayoutView="82" workbookViewId="0">
      <selection activeCell="X3" sqref="X3"/>
    </sheetView>
  </sheetViews>
  <sheetFormatPr defaultRowHeight="15" x14ac:dyDescent="0.25"/>
  <cols>
    <col min="1" max="1" width="42.28515625" customWidth="1"/>
    <col min="2" max="3" width="11.28515625" style="39" bestFit="1" customWidth="1"/>
    <col min="4" max="4" width="9.140625" style="39"/>
    <col min="5" max="5" width="10.7109375" style="39" customWidth="1"/>
    <col min="6" max="7" width="9.140625" style="39"/>
    <col min="8" max="8" width="10.42578125" customWidth="1"/>
    <col min="9" max="9" width="11.42578125" customWidth="1"/>
    <col min="10" max="10" width="11.28515625" customWidth="1"/>
    <col min="11" max="11" width="11.140625" customWidth="1"/>
    <col min="13" max="13" width="10.140625" bestFit="1" customWidth="1"/>
    <col min="14" max="14" width="11.28515625" customWidth="1"/>
    <col min="16" max="16" width="11.28515625" customWidth="1"/>
    <col min="18" max="18" width="10" bestFit="1" customWidth="1"/>
  </cols>
  <sheetData>
    <row r="1" spans="1:20" hidden="1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idden="1" x14ac:dyDescent="0.25">
      <c r="A2" s="1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48.75" customHeight="1" x14ac:dyDescent="0.25">
      <c r="A3" s="219" t="s">
        <v>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4" spans="1:20" x14ac:dyDescent="0.25">
      <c r="A4" s="1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45.2" customHeight="1" x14ac:dyDescent="0.25">
      <c r="A5" s="221" t="s">
        <v>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</row>
    <row r="6" spans="1:20" ht="13.5" customHeight="1" thickBot="1" x14ac:dyDescent="0.3">
      <c r="A6" s="1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15.75" hidden="1" thickBot="1" x14ac:dyDescent="0.3">
      <c r="A7" s="1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102.75" customHeight="1" thickBot="1" x14ac:dyDescent="0.3">
      <c r="A8" s="222" t="s">
        <v>2</v>
      </c>
      <c r="B8" s="223" t="s">
        <v>3</v>
      </c>
      <c r="C8" s="224"/>
      <c r="D8" s="224"/>
      <c r="E8" s="224"/>
      <c r="F8" s="224"/>
      <c r="G8" s="225" t="s">
        <v>4</v>
      </c>
      <c r="H8" s="226"/>
      <c r="I8" s="226"/>
      <c r="J8" s="226"/>
      <c r="K8" s="226"/>
      <c r="L8" s="226"/>
      <c r="M8" s="226"/>
      <c r="N8" s="226"/>
      <c r="O8" s="227"/>
      <c r="P8" s="3" t="s">
        <v>5</v>
      </c>
      <c r="Q8" s="228" t="s">
        <v>6</v>
      </c>
      <c r="R8" s="228" t="s">
        <v>7</v>
      </c>
    </row>
    <row r="9" spans="1:20" ht="25.5" customHeight="1" x14ac:dyDescent="0.25">
      <c r="A9" s="207"/>
      <c r="B9" s="229" t="s">
        <v>8</v>
      </c>
      <c r="C9" s="229" t="s">
        <v>9</v>
      </c>
      <c r="D9" s="229" t="s">
        <v>10</v>
      </c>
      <c r="E9" s="213" t="s">
        <v>11</v>
      </c>
      <c r="F9" s="214"/>
      <c r="G9" s="217" t="s">
        <v>12</v>
      </c>
      <c r="H9" s="208" t="s">
        <v>13</v>
      </c>
      <c r="I9" s="207" t="s">
        <v>14</v>
      </c>
      <c r="J9" s="207" t="s">
        <v>15</v>
      </c>
      <c r="K9" s="207" t="s">
        <v>16</v>
      </c>
      <c r="L9" s="207" t="s">
        <v>17</v>
      </c>
      <c r="M9" s="208" t="s">
        <v>18</v>
      </c>
      <c r="N9" s="209" t="s">
        <v>19</v>
      </c>
      <c r="O9" s="210"/>
      <c r="P9" s="4" t="s">
        <v>20</v>
      </c>
      <c r="Q9" s="208"/>
      <c r="R9" s="208"/>
    </row>
    <row r="10" spans="1:20" ht="79.5" customHeight="1" thickBot="1" x14ac:dyDescent="0.3">
      <c r="A10" s="207"/>
      <c r="B10" s="217"/>
      <c r="C10" s="217"/>
      <c r="D10" s="217"/>
      <c r="E10" s="215"/>
      <c r="F10" s="216"/>
      <c r="G10" s="217"/>
      <c r="H10" s="208"/>
      <c r="I10" s="218"/>
      <c r="J10" s="218"/>
      <c r="K10" s="207"/>
      <c r="L10" s="207"/>
      <c r="M10" s="208"/>
      <c r="N10" s="211"/>
      <c r="O10" s="212"/>
      <c r="P10" s="5"/>
      <c r="Q10" s="208"/>
      <c r="R10" s="208"/>
    </row>
    <row r="11" spans="1:20" ht="42" customHeight="1" thickBot="1" x14ac:dyDescent="0.3">
      <c r="A11" s="6"/>
      <c r="B11" s="7" t="s">
        <v>21</v>
      </c>
      <c r="C11" s="7" t="s">
        <v>21</v>
      </c>
      <c r="D11" s="7" t="s">
        <v>21</v>
      </c>
      <c r="E11" s="7" t="s">
        <v>21</v>
      </c>
      <c r="F11" s="8" t="s">
        <v>22</v>
      </c>
      <c r="G11" s="7" t="s">
        <v>21</v>
      </c>
      <c r="H11" s="9" t="s">
        <v>21</v>
      </c>
      <c r="I11" s="9" t="s">
        <v>21</v>
      </c>
      <c r="J11" s="9" t="s">
        <v>21</v>
      </c>
      <c r="K11" s="9" t="s">
        <v>21</v>
      </c>
      <c r="L11" s="9" t="s">
        <v>21</v>
      </c>
      <c r="M11" s="9" t="s">
        <v>21</v>
      </c>
      <c r="N11" s="9" t="s">
        <v>21</v>
      </c>
      <c r="O11" s="10" t="s">
        <v>23</v>
      </c>
      <c r="P11" s="9" t="s">
        <v>21</v>
      </c>
      <c r="Q11" s="9" t="s">
        <v>24</v>
      </c>
      <c r="R11" s="11" t="s">
        <v>25</v>
      </c>
    </row>
    <row r="12" spans="1:20" ht="19.7" customHeight="1" thickBot="1" x14ac:dyDescent="0.3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</row>
    <row r="13" spans="1:20" ht="16.5" customHeight="1" x14ac:dyDescent="0.25">
      <c r="A13" s="14" t="s">
        <v>26</v>
      </c>
      <c r="B13" s="15"/>
      <c r="C13" s="15"/>
      <c r="D13" s="15"/>
      <c r="E13" s="16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0" ht="51" x14ac:dyDescent="0.25">
      <c r="A14" s="18" t="s">
        <v>27</v>
      </c>
      <c r="B14" s="19">
        <f>'[1]2024'!E5/1000</f>
        <v>32050.304172812816</v>
      </c>
      <c r="C14" s="19">
        <f>'[1]2024'!E8/1000</f>
        <v>2068.6484985785783</v>
      </c>
      <c r="D14" s="19">
        <v>0</v>
      </c>
      <c r="E14" s="20">
        <f>SUM(B14:D14)</f>
        <v>34118.952671391395</v>
      </c>
      <c r="F14" s="21">
        <f t="shared" ref="F14:F23" si="0">E14/Q14</f>
        <v>72.285916676676678</v>
      </c>
      <c r="G14" s="19">
        <f>'[1]2024'!E13/1000</f>
        <v>18905.385964844849</v>
      </c>
      <c r="H14" s="22">
        <f>'[1]2024'!E9/1000</f>
        <v>2483.4477991702033</v>
      </c>
      <c r="I14" s="22">
        <f>'[1]2024'!E10/1000</f>
        <v>408.18961185060851</v>
      </c>
      <c r="J14" s="22">
        <f>'[1]2024'!E11/1000</f>
        <v>42.522522522522522</v>
      </c>
      <c r="K14" s="22">
        <f>'[1]2024'!E12/1000</f>
        <v>83.43863863863865</v>
      </c>
      <c r="L14" s="22">
        <v>0</v>
      </c>
      <c r="M14" s="22">
        <f>'[1]2024'!E19/1000</f>
        <v>1107.5296657004865</v>
      </c>
      <c r="N14" s="22">
        <f>SUM(G14:M14)</f>
        <v>23030.51420272731</v>
      </c>
      <c r="O14" s="23">
        <f>N14/Q14</f>
        <v>48.793462293913791</v>
      </c>
      <c r="P14" s="22">
        <f t="shared" ref="P14:P23" si="1">E14+N14</f>
        <v>57149.466874118705</v>
      </c>
      <c r="Q14" s="22">
        <f>'[1]2024'!E4</f>
        <v>472</v>
      </c>
      <c r="R14" s="22">
        <f>P14/Q14</f>
        <v>121.07937897059048</v>
      </c>
      <c r="S14" s="24"/>
      <c r="T14" s="24"/>
    </row>
    <row r="15" spans="1:20" ht="51" x14ac:dyDescent="0.25">
      <c r="A15" s="25" t="s">
        <v>28</v>
      </c>
      <c r="B15" s="19">
        <f>'[1]2024'!F5/1000</f>
        <v>814.83824168168167</v>
      </c>
      <c r="C15" s="19">
        <f>'[1]2024'!F8/1000</f>
        <v>52.592758438438437</v>
      </c>
      <c r="D15" s="19">
        <v>0</v>
      </c>
      <c r="E15" s="20">
        <f t="shared" ref="E15:E23" si="2">SUM(B15:D15)</f>
        <v>867.43100012012007</v>
      </c>
      <c r="F15" s="21">
        <f t="shared" si="0"/>
        <v>72.285916676676678</v>
      </c>
      <c r="G15" s="19">
        <f>'[1]2024'!F13/1000</f>
        <v>480.64540588588602</v>
      </c>
      <c r="H15" s="22">
        <f>'[1]2024'!F9/1000</f>
        <v>63.138503368733979</v>
      </c>
      <c r="I15" s="22">
        <f>'[1]2024'!F10/1000</f>
        <v>10.37770199620191</v>
      </c>
      <c r="J15" s="22">
        <f>'[1]2024'!F11/1000</f>
        <v>1.0810810810810811</v>
      </c>
      <c r="K15" s="22">
        <f>'[1]2024'!F12/1000</f>
        <v>2.1213213213213211</v>
      </c>
      <c r="L15" s="22">
        <v>0</v>
      </c>
      <c r="M15" s="22">
        <f>'[1]2024'!F19/1000</f>
        <v>28.15753387374118</v>
      </c>
      <c r="N15" s="22">
        <f t="shared" ref="N15:N23" si="3">SUM(G15:M15)</f>
        <v>585.52154752696549</v>
      </c>
      <c r="O15" s="23">
        <f t="shared" ref="O15:O23" si="4">N15/Q15</f>
        <v>48.793462293913791</v>
      </c>
      <c r="P15" s="22">
        <f t="shared" si="1"/>
        <v>1452.9525476470856</v>
      </c>
      <c r="Q15" s="22">
        <f>'[1]2024'!F4</f>
        <v>12</v>
      </c>
      <c r="R15" s="22">
        <f t="shared" ref="R15:R27" si="5">P15/Q15</f>
        <v>121.07937897059047</v>
      </c>
      <c r="S15" s="24"/>
      <c r="T15" s="24"/>
    </row>
    <row r="16" spans="1:20" ht="51" x14ac:dyDescent="0.25">
      <c r="A16" s="25" t="s">
        <v>29</v>
      </c>
      <c r="B16" s="19">
        <f>'[1]2024'!G5/1000</f>
        <v>30692.240436676682</v>
      </c>
      <c r="C16" s="19">
        <f>'[1]2024'!G8/1000</f>
        <v>1980.9939011811809</v>
      </c>
      <c r="D16" s="19">
        <v>0</v>
      </c>
      <c r="E16" s="20">
        <f t="shared" si="2"/>
        <v>32673.234337857863</v>
      </c>
      <c r="F16" s="21">
        <f t="shared" si="0"/>
        <v>72.285916676676692</v>
      </c>
      <c r="G16" s="19">
        <f>'[1]2024'!G13/1000</f>
        <v>18104.310288368375</v>
      </c>
      <c r="H16" s="22">
        <f>'[1]2024'!G9/1000</f>
        <v>2084.8291092279615</v>
      </c>
      <c r="I16" s="22">
        <f>'[1]2024'!G10/1000</f>
        <v>342.671017749984</v>
      </c>
      <c r="J16" s="22">
        <f>'[1]2024'!G11/1000</f>
        <v>40.72072072072072</v>
      </c>
      <c r="K16" s="22">
        <f>'[1]2024'!G12/1000</f>
        <v>79.903103103103106</v>
      </c>
      <c r="L16" s="22">
        <v>0</v>
      </c>
      <c r="M16" s="22">
        <f>'[1]2024'!G19/1000</f>
        <v>1032.8531762960179</v>
      </c>
      <c r="N16" s="22">
        <f t="shared" si="3"/>
        <v>21685.287415466166</v>
      </c>
      <c r="O16" s="23">
        <f t="shared" si="4"/>
        <v>47.976299591739306</v>
      </c>
      <c r="P16" s="22">
        <f t="shared" si="1"/>
        <v>54358.521753324028</v>
      </c>
      <c r="Q16" s="22">
        <f>'[1]2024'!G4</f>
        <v>452</v>
      </c>
      <c r="R16" s="22">
        <f t="shared" si="5"/>
        <v>120.262216268416</v>
      </c>
      <c r="S16" s="24"/>
      <c r="T16" s="24"/>
    </row>
    <row r="17" spans="1:20" ht="63.75" x14ac:dyDescent="0.25">
      <c r="A17" s="25" t="s">
        <v>30</v>
      </c>
      <c r="B17" s="19">
        <f>'[1]2024'!H5/1000</f>
        <v>1086.450988908909</v>
      </c>
      <c r="C17" s="19">
        <f>'[1]2024'!H8/1000</f>
        <v>70.123677917917917</v>
      </c>
      <c r="D17" s="19">
        <v>0</v>
      </c>
      <c r="E17" s="20">
        <f t="shared" si="2"/>
        <v>1156.5746668268271</v>
      </c>
      <c r="F17" s="21">
        <f t="shared" si="0"/>
        <v>72.285916676676692</v>
      </c>
      <c r="G17" s="19">
        <f>'[1]2024'!H13/1000</f>
        <v>640.86054118118136</v>
      </c>
      <c r="H17" s="22">
        <f>'[1]2024'!H9/1000</f>
        <v>73.799260503644661</v>
      </c>
      <c r="I17" s="22">
        <f>'[1]2024'!H10/1000</f>
        <v>12.129947530972885</v>
      </c>
      <c r="J17" s="22">
        <f>'[1]2024'!H11/1000</f>
        <v>1.4414414414414414</v>
      </c>
      <c r="K17" s="22">
        <f>'[1]2024'!H12/1000</f>
        <v>2.8284284284284285</v>
      </c>
      <c r="L17" s="22">
        <v>0</v>
      </c>
      <c r="M17" s="22">
        <f>'[1]2024'!H19/1000</f>
        <v>36.561174382159926</v>
      </c>
      <c r="N17" s="22">
        <f t="shared" si="3"/>
        <v>767.62079346782878</v>
      </c>
      <c r="O17" s="23">
        <f t="shared" si="4"/>
        <v>47.976299591739298</v>
      </c>
      <c r="P17" s="22">
        <f t="shared" si="1"/>
        <v>1924.1954602946557</v>
      </c>
      <c r="Q17" s="22">
        <f>'[1]2024'!H4</f>
        <v>16</v>
      </c>
      <c r="R17" s="22">
        <f t="shared" si="5"/>
        <v>120.26221626841598</v>
      </c>
      <c r="S17" s="24"/>
      <c r="T17" s="24"/>
    </row>
    <row r="18" spans="1:20" ht="38.25" x14ac:dyDescent="0.25">
      <c r="A18" s="25" t="s">
        <v>31</v>
      </c>
      <c r="B18" s="19">
        <f>'[1]2024'!I5/1000</f>
        <v>3191.4497799199203</v>
      </c>
      <c r="C18" s="19">
        <f>'[1]2024'!I8/1000</f>
        <v>205.98830388388387</v>
      </c>
      <c r="D18" s="19">
        <v>0</v>
      </c>
      <c r="E18" s="20">
        <f t="shared" si="2"/>
        <v>3397.4380838038041</v>
      </c>
      <c r="F18" s="21">
        <f t="shared" si="0"/>
        <v>72.285916676676678</v>
      </c>
      <c r="G18" s="19">
        <f>'[1]2024'!I13/1000</f>
        <v>1882.5278397197201</v>
      </c>
      <c r="H18" s="22">
        <f>'[1]2024'!I9/1000</f>
        <v>216.78532772945618</v>
      </c>
      <c r="I18" s="22">
        <f>'[1]2024'!I10/1000</f>
        <v>35.631720872232847</v>
      </c>
      <c r="J18" s="22">
        <f>'[1]2024'!I11/1000</f>
        <v>4.2342342342342345</v>
      </c>
      <c r="K18" s="22">
        <f>'[1]2024'!I12/1000</f>
        <v>8.308508508508508</v>
      </c>
      <c r="L18" s="22">
        <v>0</v>
      </c>
      <c r="M18" s="22">
        <f>'[1]2024'!I19/1000</f>
        <v>107.39844974759477</v>
      </c>
      <c r="N18" s="22">
        <f t="shared" si="3"/>
        <v>2254.8860808117465</v>
      </c>
      <c r="O18" s="23">
        <f t="shared" si="4"/>
        <v>47.976299591739284</v>
      </c>
      <c r="P18" s="22">
        <f t="shared" si="1"/>
        <v>5652.3241646155511</v>
      </c>
      <c r="Q18" s="22">
        <f>'[1]2024'!I4</f>
        <v>47</v>
      </c>
      <c r="R18" s="22">
        <f t="shared" si="5"/>
        <v>120.26221626841598</v>
      </c>
      <c r="S18" s="24"/>
      <c r="T18" s="24"/>
    </row>
    <row r="19" spans="1:20" ht="25.5" x14ac:dyDescent="0.25">
      <c r="A19" s="26" t="s">
        <v>32</v>
      </c>
      <c r="B19" s="27">
        <f>'[1]2024'!K5/1000</f>
        <v>3581.8057993193192</v>
      </c>
      <c r="C19" s="27">
        <f>'[1]2024'!K8/1000</f>
        <v>2899.6276341141142</v>
      </c>
      <c r="D19" s="19">
        <v>0</v>
      </c>
      <c r="E19" s="20">
        <f t="shared" si="2"/>
        <v>6481.4334334334335</v>
      </c>
      <c r="F19" s="21">
        <f t="shared" si="0"/>
        <v>13.391391391391391</v>
      </c>
      <c r="G19" s="27">
        <f>'[1]2024'!K13/1000</f>
        <v>0</v>
      </c>
      <c r="H19" s="28">
        <f>'[1]2024'!K9/1000</f>
        <v>0</v>
      </c>
      <c r="I19" s="28">
        <f>'[1]2024'!K10/1000</f>
        <v>0</v>
      </c>
      <c r="J19" s="28">
        <v>0</v>
      </c>
      <c r="K19" s="28">
        <v>0</v>
      </c>
      <c r="L19" s="22">
        <v>0</v>
      </c>
      <c r="M19" s="28">
        <f>'[1]2024'!K19/1000</f>
        <v>0</v>
      </c>
      <c r="N19" s="22">
        <f t="shared" si="3"/>
        <v>0</v>
      </c>
      <c r="O19" s="23">
        <f t="shared" si="4"/>
        <v>0</v>
      </c>
      <c r="P19" s="22">
        <f t="shared" si="1"/>
        <v>6481.4334334334335</v>
      </c>
      <c r="Q19" s="28">
        <f>'[1]2024'!K4</f>
        <v>484</v>
      </c>
      <c r="R19" s="22">
        <f t="shared" si="5"/>
        <v>13.391391391391391</v>
      </c>
      <c r="S19" s="24"/>
      <c r="T19" s="24"/>
    </row>
    <row r="20" spans="1:20" ht="25.5" x14ac:dyDescent="0.25">
      <c r="A20" s="26" t="s">
        <v>33</v>
      </c>
      <c r="B20" s="27">
        <f>'[1]2024'!L5/1000</f>
        <v>3463.3989960360359</v>
      </c>
      <c r="C20" s="27">
        <f>'[1]2024'!L8/1000</f>
        <v>2803.7721751351355</v>
      </c>
      <c r="D20" s="19">
        <v>0</v>
      </c>
      <c r="E20" s="20">
        <f t="shared" si="2"/>
        <v>6267.1711711711714</v>
      </c>
      <c r="F20" s="21">
        <f t="shared" si="0"/>
        <v>13.391391391391393</v>
      </c>
      <c r="G20" s="27">
        <f>'[1]2024'!L13/1000</f>
        <v>0</v>
      </c>
      <c r="H20" s="28">
        <f>'[1]2024'!L9/1000</f>
        <v>0</v>
      </c>
      <c r="I20" s="28">
        <f>'[1]2024'!L10/1000</f>
        <v>0</v>
      </c>
      <c r="J20" s="28">
        <v>0</v>
      </c>
      <c r="K20" s="28">
        <v>0</v>
      </c>
      <c r="L20" s="22">
        <v>0</v>
      </c>
      <c r="M20" s="28">
        <f>'[1]2024'!L19/1000</f>
        <v>0</v>
      </c>
      <c r="N20" s="22">
        <f t="shared" si="3"/>
        <v>0</v>
      </c>
      <c r="O20" s="23">
        <f t="shared" si="4"/>
        <v>0</v>
      </c>
      <c r="P20" s="22">
        <f t="shared" si="1"/>
        <v>6267.1711711711714</v>
      </c>
      <c r="Q20" s="28">
        <f>'[1]2024'!L4</f>
        <v>468</v>
      </c>
      <c r="R20" s="22">
        <f t="shared" si="5"/>
        <v>13.391391391391393</v>
      </c>
      <c r="S20" s="24"/>
      <c r="T20" s="24"/>
    </row>
    <row r="21" spans="1:20" ht="25.5" x14ac:dyDescent="0.25">
      <c r="A21" s="26" t="s">
        <v>34</v>
      </c>
      <c r="B21" s="27">
        <f>'[1]2024'!M5/1000</f>
        <v>347.81998464464465</v>
      </c>
      <c r="C21" s="27">
        <f>'[1]2024'!M8/1000</f>
        <v>281.57541075075079</v>
      </c>
      <c r="D21" s="19">
        <v>0</v>
      </c>
      <c r="E21" s="20">
        <f t="shared" si="2"/>
        <v>629.39539539539544</v>
      </c>
      <c r="F21" s="21">
        <f t="shared" si="0"/>
        <v>13.391391391391393</v>
      </c>
      <c r="G21" s="27">
        <f>'[1]2024'!M13/1000</f>
        <v>0</v>
      </c>
      <c r="H21" s="28">
        <f>'[1]2024'!M9/1000</f>
        <v>0</v>
      </c>
      <c r="I21" s="28">
        <f>'[1]2024'!M10/1000</f>
        <v>0</v>
      </c>
      <c r="J21" s="28">
        <v>0</v>
      </c>
      <c r="K21" s="28">
        <v>0</v>
      </c>
      <c r="L21" s="22">
        <v>0</v>
      </c>
      <c r="M21" s="28">
        <f>'[1]2024'!M19/1000</f>
        <v>0</v>
      </c>
      <c r="N21" s="22">
        <f t="shared" si="3"/>
        <v>0</v>
      </c>
      <c r="O21" s="23">
        <f t="shared" si="4"/>
        <v>0</v>
      </c>
      <c r="P21" s="22">
        <f t="shared" si="1"/>
        <v>629.39539539539544</v>
      </c>
      <c r="Q21" s="28">
        <f>'[1]2024'!M4</f>
        <v>47</v>
      </c>
      <c r="R21" s="22">
        <f t="shared" si="5"/>
        <v>13.391391391391393</v>
      </c>
      <c r="S21" s="24"/>
      <c r="T21" s="24"/>
    </row>
    <row r="22" spans="1:20" ht="31.35" customHeight="1" x14ac:dyDescent="0.25">
      <c r="A22" s="26" t="s">
        <v>35</v>
      </c>
      <c r="B22" s="19">
        <v>0</v>
      </c>
      <c r="C22" s="19">
        <f>'[1]2024'!P7/1000</f>
        <v>922.55</v>
      </c>
      <c r="D22" s="19">
        <v>0</v>
      </c>
      <c r="E22" s="20">
        <f t="shared" si="2"/>
        <v>922.55</v>
      </c>
      <c r="F22" s="21">
        <f t="shared" si="0"/>
        <v>4.1002222222222224</v>
      </c>
      <c r="G22" s="27">
        <v>0</v>
      </c>
      <c r="H22" s="22">
        <v>0</v>
      </c>
      <c r="I22" s="22">
        <v>0</v>
      </c>
      <c r="J22" s="28">
        <v>0</v>
      </c>
      <c r="K22" s="28">
        <v>0</v>
      </c>
      <c r="L22" s="22">
        <v>0</v>
      </c>
      <c r="M22" s="22">
        <f>'[1]2024'!P19/1000</f>
        <v>52</v>
      </c>
      <c r="N22" s="22">
        <f>SUM(G22:M22)</f>
        <v>52</v>
      </c>
      <c r="O22" s="23">
        <f t="shared" si="4"/>
        <v>0.2311111111111111</v>
      </c>
      <c r="P22" s="22">
        <f>E22+N22</f>
        <v>974.55</v>
      </c>
      <c r="Q22" s="22">
        <v>225</v>
      </c>
      <c r="R22" s="22">
        <f t="shared" si="5"/>
        <v>4.3313333333333333</v>
      </c>
      <c r="S22" s="24"/>
      <c r="T22" s="24"/>
    </row>
    <row r="23" spans="1:20" ht="28.15" customHeight="1" x14ac:dyDescent="0.25">
      <c r="A23" s="26" t="s">
        <v>36</v>
      </c>
      <c r="B23" s="19">
        <v>0</v>
      </c>
      <c r="C23" s="19">
        <f>'[1]2024'!Q8/1000</f>
        <v>0</v>
      </c>
      <c r="D23" s="19">
        <v>0</v>
      </c>
      <c r="E23" s="20">
        <f t="shared" si="2"/>
        <v>0</v>
      </c>
      <c r="F23" s="21">
        <f t="shared" si="0"/>
        <v>0</v>
      </c>
      <c r="G23" s="27">
        <v>0</v>
      </c>
      <c r="H23" s="22">
        <v>0</v>
      </c>
      <c r="I23" s="22">
        <v>0</v>
      </c>
      <c r="J23" s="28">
        <v>0</v>
      </c>
      <c r="K23" s="28">
        <v>0</v>
      </c>
      <c r="L23" s="22">
        <v>0</v>
      </c>
      <c r="M23" s="22">
        <f>'[1]2024'!Q15/1000</f>
        <v>0</v>
      </c>
      <c r="N23" s="22">
        <f t="shared" si="3"/>
        <v>0</v>
      </c>
      <c r="O23" s="23">
        <f t="shared" si="4"/>
        <v>0</v>
      </c>
      <c r="P23" s="22">
        <f t="shared" si="1"/>
        <v>0</v>
      </c>
      <c r="Q23" s="22">
        <v>20</v>
      </c>
      <c r="R23" s="22">
        <f t="shared" si="5"/>
        <v>0</v>
      </c>
      <c r="S23" s="24"/>
      <c r="T23" s="24"/>
    </row>
    <row r="24" spans="1:20" s="39" customFormat="1" ht="38.25" x14ac:dyDescent="0.25">
      <c r="A24" s="42" t="s">
        <v>123</v>
      </c>
      <c r="B24" s="19">
        <f>'[1]2024'!O20*255/405/1000</f>
        <v>1410.921818888889</v>
      </c>
      <c r="C24" s="19">
        <v>0</v>
      </c>
      <c r="D24" s="19">
        <v>0</v>
      </c>
      <c r="E24" s="20">
        <f>SUM(B24:D24)</f>
        <v>1410.921818888889</v>
      </c>
      <c r="F24" s="21">
        <f>E24/Q24</f>
        <v>83.833738496071845</v>
      </c>
      <c r="G24" s="27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f>SUM(G24:M24)</f>
        <v>0</v>
      </c>
      <c r="O24" s="21">
        <f>N24/Q24</f>
        <v>0</v>
      </c>
      <c r="P24" s="19">
        <f>E24+N24</f>
        <v>1410.921818888889</v>
      </c>
      <c r="Q24" s="19">
        <v>16.829999999999998</v>
      </c>
      <c r="R24" s="19">
        <f>P24/Q24</f>
        <v>83.833738496071845</v>
      </c>
      <c r="S24" s="43"/>
      <c r="T24" s="43"/>
    </row>
    <row r="25" spans="1:20" s="39" customFormat="1" ht="38.25" x14ac:dyDescent="0.25">
      <c r="A25" s="42" t="s">
        <v>124</v>
      </c>
      <c r="B25" s="19">
        <f>'[1]2024'!O20*150/405/1000</f>
        <v>829.95401111111119</v>
      </c>
      <c r="C25" s="19">
        <v>0</v>
      </c>
      <c r="D25" s="19">
        <v>0</v>
      </c>
      <c r="E25" s="20">
        <f>SUM(B25:D25)</f>
        <v>829.95401111111119</v>
      </c>
      <c r="F25" s="21">
        <f>E25/Q25</f>
        <v>81.368040305010908</v>
      </c>
      <c r="G25" s="27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f>SUM(G25:M25)</f>
        <v>0</v>
      </c>
      <c r="O25" s="21">
        <f>N25/Q25</f>
        <v>0</v>
      </c>
      <c r="P25" s="19">
        <f>E25+N25</f>
        <v>829.95401111111119</v>
      </c>
      <c r="Q25" s="19">
        <v>10.199999999999999</v>
      </c>
      <c r="R25" s="19">
        <f t="shared" si="5"/>
        <v>81.368040305010908</v>
      </c>
      <c r="S25" s="43"/>
      <c r="T25" s="43"/>
    </row>
    <row r="26" spans="1:20" s="39" customFormat="1" ht="38.25" x14ac:dyDescent="0.25">
      <c r="A26" s="42" t="s">
        <v>125</v>
      </c>
      <c r="B26" s="19">
        <f>'[1]2024'!N20/2/1000</f>
        <v>944.712085</v>
      </c>
      <c r="C26" s="19">
        <v>0</v>
      </c>
      <c r="D26" s="19">
        <v>0</v>
      </c>
      <c r="E26" s="20">
        <f>SUM(B26:D26)</f>
        <v>944.712085</v>
      </c>
      <c r="F26" s="21">
        <f>E26/Q26</f>
        <v>28.883211599608661</v>
      </c>
      <c r="G26" s="2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f>SUM(G26:M26)</f>
        <v>0</v>
      </c>
      <c r="O26" s="21">
        <f>N26/Q26</f>
        <v>0</v>
      </c>
      <c r="P26" s="19">
        <f>E26+N26</f>
        <v>944.712085</v>
      </c>
      <c r="Q26" s="19">
        <v>32.707999999999998</v>
      </c>
      <c r="R26" s="19">
        <f>P26/Q26</f>
        <v>28.883211599608661</v>
      </c>
      <c r="S26" s="43"/>
      <c r="T26" s="43"/>
    </row>
    <row r="27" spans="1:20" s="39" customFormat="1" ht="39" thickBot="1" x14ac:dyDescent="0.3">
      <c r="A27" s="42" t="s">
        <v>37</v>
      </c>
      <c r="B27" s="19">
        <f>'[1]2024'!N20/2/1000</f>
        <v>944.712085</v>
      </c>
      <c r="C27" s="19">
        <v>0</v>
      </c>
      <c r="D27" s="19">
        <v>0</v>
      </c>
      <c r="E27" s="20">
        <f>SUM(B27:D27)</f>
        <v>944.712085</v>
      </c>
      <c r="F27" s="21">
        <f>E27/Q27</f>
        <v>75.096350158982517</v>
      </c>
      <c r="G27" s="27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f>SUM(G27:M27)</f>
        <v>0</v>
      </c>
      <c r="O27" s="21">
        <f>N27/Q27</f>
        <v>0</v>
      </c>
      <c r="P27" s="19">
        <f>E27+N27</f>
        <v>944.712085</v>
      </c>
      <c r="Q27" s="19">
        <v>12.58</v>
      </c>
      <c r="R27" s="19">
        <f t="shared" si="5"/>
        <v>75.096350158982517</v>
      </c>
      <c r="S27" s="43"/>
      <c r="T27" s="43"/>
    </row>
    <row r="28" spans="1:20" ht="15.75" thickBot="1" x14ac:dyDescent="0.3">
      <c r="A28" s="29" t="s">
        <v>38</v>
      </c>
      <c r="B28" s="30">
        <f>SUM(B14:B27)</f>
        <v>79358.608400000026</v>
      </c>
      <c r="C28" s="30">
        <f>SUM(C14:C27)</f>
        <v>11285.872359999999</v>
      </c>
      <c r="D28" s="30">
        <f>SUM(D14:D27)</f>
        <v>0</v>
      </c>
      <c r="E28" s="30">
        <f>SUM(E14:E27)</f>
        <v>90644.48076000002</v>
      </c>
      <c r="F28" s="31">
        <f>E28/Q28</f>
        <v>39.149905438475422</v>
      </c>
      <c r="G28" s="30">
        <f t="shared" ref="G28:N28" si="6">SUM(G14:G27)</f>
        <v>40013.730040000009</v>
      </c>
      <c r="H28" s="32">
        <f t="shared" si="6"/>
        <v>4921.9999999999991</v>
      </c>
      <c r="I28" s="32">
        <f t="shared" si="6"/>
        <v>809.00000000000023</v>
      </c>
      <c r="J28" s="32">
        <f t="shared" si="6"/>
        <v>90</v>
      </c>
      <c r="K28" s="32">
        <f t="shared" si="6"/>
        <v>176.60000000000002</v>
      </c>
      <c r="L28" s="32">
        <f t="shared" si="6"/>
        <v>0</v>
      </c>
      <c r="M28" s="32">
        <f t="shared" si="6"/>
        <v>2364.5000000000005</v>
      </c>
      <c r="N28" s="32">
        <f t="shared" si="6"/>
        <v>48375.830040000023</v>
      </c>
      <c r="O28" s="33"/>
      <c r="P28" s="32">
        <f>SUM(P14:P27)</f>
        <v>139020.31080000004</v>
      </c>
      <c r="Q28" s="32">
        <f>SUM(Q14:Q27)</f>
        <v>2315.3179999999998</v>
      </c>
      <c r="R28" s="34">
        <f>SUM(R14:R27)</f>
        <v>916.63225481361042</v>
      </c>
    </row>
    <row r="29" spans="1:20" x14ac:dyDescent="0.25">
      <c r="A29" s="35"/>
      <c r="B29" s="36"/>
      <c r="C29" s="36"/>
      <c r="D29" s="36"/>
      <c r="E29" s="36"/>
      <c r="F29" s="36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0" ht="15.75" x14ac:dyDescent="0.25">
      <c r="A30" s="38" t="s">
        <v>39</v>
      </c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0" ht="15.75" x14ac:dyDescent="0.25">
      <c r="A31" s="38" t="s">
        <v>40</v>
      </c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0" ht="15.75" x14ac:dyDescent="0.25">
      <c r="A32" s="38" t="s">
        <v>41</v>
      </c>
      <c r="B32" s="2"/>
      <c r="C32" s="2"/>
      <c r="D32" s="2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x14ac:dyDescent="0.25">
      <c r="A33" s="38" t="s">
        <v>42</v>
      </c>
      <c r="B33" s="2"/>
      <c r="C33" s="2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x14ac:dyDescent="0.25">
      <c r="A34" s="38" t="s">
        <v>43</v>
      </c>
      <c r="B34" s="2"/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</sheetData>
  <mergeCells count="19">
    <mergeCell ref="A3:R3"/>
    <mergeCell ref="A5:R5"/>
    <mergeCell ref="A8:A10"/>
    <mergeCell ref="B8:F8"/>
    <mergeCell ref="G8:O8"/>
    <mergeCell ref="Q8:Q10"/>
    <mergeCell ref="R8:R10"/>
    <mergeCell ref="B9:B10"/>
    <mergeCell ref="C9:C10"/>
    <mergeCell ref="D9:D10"/>
    <mergeCell ref="L9:L10"/>
    <mergeCell ref="M9:M10"/>
    <mergeCell ref="N9:O10"/>
    <mergeCell ref="E9:F10"/>
    <mergeCell ref="G9:G10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86" zoomScaleNormal="86" workbookViewId="0">
      <selection activeCell="N5" sqref="N5:R5"/>
    </sheetView>
  </sheetViews>
  <sheetFormatPr defaultRowHeight="15" x14ac:dyDescent="0.25"/>
  <cols>
    <col min="1" max="1" width="38" customWidth="1"/>
    <col min="2" max="2" width="11.28515625" customWidth="1"/>
    <col min="3" max="3" width="11.7109375" bestFit="1" customWidth="1"/>
    <col min="5" max="5" width="12" customWidth="1"/>
    <col min="6" max="6" width="10.85546875" customWidth="1"/>
    <col min="7" max="7" width="10.5703125" customWidth="1"/>
    <col min="14" max="14" width="11.28515625" customWidth="1"/>
    <col min="15" max="15" width="11.42578125" customWidth="1"/>
    <col min="16" max="16" width="14.42578125" customWidth="1"/>
    <col min="17" max="17" width="10.5703125" customWidth="1"/>
    <col min="18" max="18" width="9.140625" bestFit="1" customWidth="1"/>
  </cols>
  <sheetData>
    <row r="1" spans="1:18" s="44" customFormat="1" ht="15.75" customHeight="1" x14ac:dyDescent="0.2"/>
    <row r="2" spans="1:18" s="44" customFormat="1" ht="18" customHeight="1" x14ac:dyDescent="0.25">
      <c r="L2" s="46"/>
      <c r="M2" s="46"/>
      <c r="N2" s="230" t="s">
        <v>46</v>
      </c>
      <c r="O2" s="230"/>
      <c r="P2" s="230"/>
      <c r="Q2" s="230"/>
      <c r="R2" s="230"/>
    </row>
    <row r="3" spans="1:18" s="44" customFormat="1" ht="18" customHeight="1" x14ac:dyDescent="0.25">
      <c r="K3" s="48"/>
      <c r="L3" s="48"/>
      <c r="M3" s="48"/>
      <c r="N3" s="231" t="s">
        <v>44</v>
      </c>
      <c r="O3" s="231"/>
      <c r="P3" s="231"/>
      <c r="Q3" s="231"/>
      <c r="R3" s="231"/>
    </row>
    <row r="4" spans="1:18" s="44" customFormat="1" ht="18" customHeight="1" x14ac:dyDescent="0.25">
      <c r="K4" s="48" t="s">
        <v>47</v>
      </c>
      <c r="L4" s="48"/>
      <c r="M4" s="48"/>
      <c r="N4" s="231" t="s">
        <v>45</v>
      </c>
      <c r="O4" s="231"/>
      <c r="P4" s="231"/>
      <c r="Q4" s="231"/>
      <c r="R4" s="231"/>
    </row>
    <row r="5" spans="1:18" s="44" customFormat="1" ht="18" customHeight="1" x14ac:dyDescent="0.25">
      <c r="K5" s="46"/>
      <c r="L5" s="46"/>
      <c r="M5" s="46"/>
      <c r="N5" s="230" t="s">
        <v>126</v>
      </c>
      <c r="O5" s="230"/>
      <c r="P5" s="230"/>
      <c r="Q5" s="230"/>
      <c r="R5" s="230"/>
    </row>
    <row r="6" spans="1:18" s="44" customFormat="1" ht="18" customHeight="1" x14ac:dyDescent="0.25">
      <c r="K6" s="46"/>
      <c r="L6" s="46"/>
      <c r="M6" s="46"/>
      <c r="N6" s="45"/>
      <c r="O6" s="45"/>
      <c r="P6" s="45"/>
      <c r="Q6" s="45"/>
      <c r="R6" s="45"/>
    </row>
    <row r="7" spans="1:18" s="44" customFormat="1" ht="18" customHeight="1" x14ac:dyDescent="0.25">
      <c r="K7" s="46"/>
      <c r="L7" s="46"/>
      <c r="M7" s="46"/>
      <c r="N7" s="45"/>
      <c r="O7" s="45"/>
      <c r="P7" s="45"/>
      <c r="Q7" s="45"/>
      <c r="R7" s="45"/>
    </row>
    <row r="8" spans="1:18" ht="15.75" x14ac:dyDescent="0.25">
      <c r="A8" s="250" t="s">
        <v>90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</row>
    <row r="9" spans="1:18" ht="15.75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</row>
    <row r="10" spans="1:18" ht="35.25" customHeight="1" x14ac:dyDescent="0.25">
      <c r="A10" s="249" t="s">
        <v>89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</row>
    <row r="12" spans="1:18" ht="15.75" thickBot="1" x14ac:dyDescent="0.3"/>
    <row r="13" spans="1:18" ht="68.25" customHeight="1" thickBot="1" x14ac:dyDescent="0.3">
      <c r="A13" s="251" t="s">
        <v>2</v>
      </c>
      <c r="B13" s="253" t="s">
        <v>3</v>
      </c>
      <c r="C13" s="254"/>
      <c r="D13" s="254"/>
      <c r="E13" s="254"/>
      <c r="F13" s="254"/>
      <c r="G13" s="233" t="s">
        <v>4</v>
      </c>
      <c r="H13" s="234"/>
      <c r="I13" s="234"/>
      <c r="J13" s="234"/>
      <c r="K13" s="234"/>
      <c r="L13" s="234"/>
      <c r="M13" s="234"/>
      <c r="N13" s="234"/>
      <c r="O13" s="235"/>
      <c r="P13" s="127" t="s">
        <v>5</v>
      </c>
      <c r="Q13" s="247" t="s">
        <v>6</v>
      </c>
      <c r="R13" s="244" t="s">
        <v>88</v>
      </c>
    </row>
    <row r="14" spans="1:18" ht="22.5" customHeight="1" x14ac:dyDescent="0.25">
      <c r="A14" s="252"/>
      <c r="B14" s="255" t="s">
        <v>87</v>
      </c>
      <c r="C14" s="255" t="s">
        <v>9</v>
      </c>
      <c r="D14" s="255" t="s">
        <v>10</v>
      </c>
      <c r="E14" s="256" t="s">
        <v>86</v>
      </c>
      <c r="F14" s="257"/>
      <c r="G14" s="232" t="s">
        <v>85</v>
      </c>
      <c r="H14" s="246" t="s">
        <v>13</v>
      </c>
      <c r="I14" s="246" t="s">
        <v>14</v>
      </c>
      <c r="J14" s="246" t="s">
        <v>54</v>
      </c>
      <c r="K14" s="232" t="s">
        <v>16</v>
      </c>
      <c r="L14" s="236" t="s">
        <v>17</v>
      </c>
      <c r="M14" s="238" t="s">
        <v>55</v>
      </c>
      <c r="N14" s="240" t="s">
        <v>19</v>
      </c>
      <c r="O14" s="241"/>
      <c r="P14" s="126" t="s">
        <v>20</v>
      </c>
      <c r="Q14" s="232"/>
      <c r="R14" s="245"/>
    </row>
    <row r="15" spans="1:18" ht="68.25" customHeight="1" thickBot="1" x14ac:dyDescent="0.3">
      <c r="A15" s="252"/>
      <c r="B15" s="246"/>
      <c r="C15" s="246"/>
      <c r="D15" s="246"/>
      <c r="E15" s="232"/>
      <c r="F15" s="258"/>
      <c r="G15" s="232"/>
      <c r="H15" s="246"/>
      <c r="I15" s="246"/>
      <c r="J15" s="246"/>
      <c r="K15" s="232"/>
      <c r="L15" s="237"/>
      <c r="M15" s="239"/>
      <c r="N15" s="242"/>
      <c r="O15" s="243"/>
      <c r="P15" s="125"/>
      <c r="Q15" s="248"/>
      <c r="R15" s="245"/>
    </row>
    <row r="16" spans="1:18" ht="38.25" customHeight="1" thickBot="1" x14ac:dyDescent="0.3">
      <c r="A16" s="124"/>
      <c r="B16" s="123" t="s">
        <v>21</v>
      </c>
      <c r="C16" s="123" t="s">
        <v>21</v>
      </c>
      <c r="D16" s="123" t="s">
        <v>21</v>
      </c>
      <c r="E16" s="123" t="s">
        <v>21</v>
      </c>
      <c r="F16" s="120" t="s">
        <v>84</v>
      </c>
      <c r="G16" s="123" t="s">
        <v>21</v>
      </c>
      <c r="H16" s="123" t="s">
        <v>21</v>
      </c>
      <c r="I16" s="123" t="s">
        <v>21</v>
      </c>
      <c r="J16" s="123" t="s">
        <v>21</v>
      </c>
      <c r="K16" s="123" t="s">
        <v>21</v>
      </c>
      <c r="L16" s="123" t="s">
        <v>21</v>
      </c>
      <c r="M16" s="123" t="s">
        <v>21</v>
      </c>
      <c r="N16" s="123" t="s">
        <v>21</v>
      </c>
      <c r="O16" s="120" t="s">
        <v>83</v>
      </c>
      <c r="P16" s="122" t="s">
        <v>21</v>
      </c>
      <c r="Q16" s="121" t="s">
        <v>59</v>
      </c>
      <c r="R16" s="120" t="s">
        <v>60</v>
      </c>
    </row>
    <row r="17" spans="1:20" ht="19.5" customHeight="1" thickBot="1" x14ac:dyDescent="0.3">
      <c r="A17" s="119">
        <v>1</v>
      </c>
      <c r="B17" s="119">
        <v>2</v>
      </c>
      <c r="C17" s="119">
        <v>3</v>
      </c>
      <c r="D17" s="119">
        <v>4</v>
      </c>
      <c r="E17" s="119">
        <v>5</v>
      </c>
      <c r="F17" s="119">
        <v>6</v>
      </c>
      <c r="G17" s="119">
        <v>7</v>
      </c>
      <c r="H17" s="119">
        <v>8</v>
      </c>
      <c r="I17" s="119">
        <v>9</v>
      </c>
      <c r="J17" s="119">
        <v>10</v>
      </c>
      <c r="K17" s="119">
        <v>11</v>
      </c>
      <c r="L17" s="119">
        <v>12</v>
      </c>
      <c r="M17" s="119">
        <v>13</v>
      </c>
      <c r="N17" s="119">
        <v>14</v>
      </c>
      <c r="O17" s="119">
        <v>15</v>
      </c>
      <c r="P17" s="119">
        <v>16</v>
      </c>
      <c r="Q17" s="118">
        <v>17</v>
      </c>
      <c r="R17" s="117">
        <v>18</v>
      </c>
    </row>
    <row r="18" spans="1:20" x14ac:dyDescent="0.25">
      <c r="A18" s="116" t="s">
        <v>26</v>
      </c>
      <c r="B18" s="115"/>
      <c r="C18" s="115"/>
      <c r="D18" s="115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3"/>
      <c r="R18" s="112"/>
    </row>
    <row r="19" spans="1:20" s="41" customFormat="1" ht="48" x14ac:dyDescent="0.25">
      <c r="A19" s="111" t="s">
        <v>82</v>
      </c>
      <c r="B19" s="105">
        <f>[2]Лист1!D5/1000</f>
        <v>21764.990566037737</v>
      </c>
      <c r="C19" s="105">
        <f>[2]Лист1!D6/1000</f>
        <v>209.28299886792453</v>
      </c>
      <c r="D19" s="108">
        <f>[2]Лист1!D8/1000</f>
        <v>22.169801320754718</v>
      </c>
      <c r="E19" s="103">
        <f>SUM(B19:D19)</f>
        <v>21996.443366226416</v>
      </c>
      <c r="F19" s="103">
        <f t="shared" ref="F19:F24" si="0">E19/Q19</f>
        <v>234.00471666198317</v>
      </c>
      <c r="G19" s="100">
        <f>[2]Лист1!I5/1000</f>
        <v>5831.6189999999997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f>SUM(G19:M19)</f>
        <v>5831.6189999999997</v>
      </c>
      <c r="O19" s="100">
        <f t="shared" ref="O19:O24" si="1">N19/Q19</f>
        <v>62.038499999999999</v>
      </c>
      <c r="P19" s="103">
        <f>E19+N19</f>
        <v>27828.062366226415</v>
      </c>
      <c r="Q19" s="110">
        <v>94</v>
      </c>
      <c r="R19" s="97">
        <f t="shared" ref="R19:R24" si="2">P19/Q19</f>
        <v>296.04321666198314</v>
      </c>
      <c r="S19" s="40"/>
      <c r="T19" s="40"/>
    </row>
    <row r="20" spans="1:20" s="41" customFormat="1" ht="52.5" customHeight="1" x14ac:dyDescent="0.25">
      <c r="A20" s="111" t="s">
        <v>81</v>
      </c>
      <c r="B20" s="105">
        <f>[2]Лист1!E5/1000</f>
        <v>59506.410377358487</v>
      </c>
      <c r="C20" s="105">
        <f>[2]Лист1!E6/1000</f>
        <v>572.18869924528303</v>
      </c>
      <c r="D20" s="108">
        <f>[2]Лист1!E8/1000</f>
        <v>60.613197547169811</v>
      </c>
      <c r="E20" s="103">
        <f>SUM(B20:D20)</f>
        <v>60139.212274150945</v>
      </c>
      <c r="F20" s="103">
        <f t="shared" si="0"/>
        <v>234.00471702004259</v>
      </c>
      <c r="G20" s="100">
        <f>[2]Лист1!J5/1000</f>
        <v>15943.8945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f>SUM(G20:M20)</f>
        <v>15943.8945</v>
      </c>
      <c r="O20" s="100">
        <f t="shared" si="1"/>
        <v>62.038499999999999</v>
      </c>
      <c r="P20" s="103">
        <f>E20+N20</f>
        <v>76083.106774150947</v>
      </c>
      <c r="Q20" s="110">
        <v>257</v>
      </c>
      <c r="R20" s="97">
        <f t="shared" si="2"/>
        <v>296.04321702004262</v>
      </c>
      <c r="S20" s="40"/>
      <c r="T20" s="40"/>
    </row>
    <row r="21" spans="1:20" s="41" customFormat="1" ht="60" x14ac:dyDescent="0.25">
      <c r="A21" s="111" t="s">
        <v>80</v>
      </c>
      <c r="B21" s="105">
        <f>[2]Лист1!F5/1000</f>
        <v>16902.599056603773</v>
      </c>
      <c r="C21" s="105">
        <f>[2]Лист1!F6/1000</f>
        <v>162.52830188679243</v>
      </c>
      <c r="D21" s="108">
        <f>[2]Лист1!F8/1000</f>
        <v>17.21700113207547</v>
      </c>
      <c r="E21" s="103">
        <f>SUM(B21:D21)</f>
        <v>17082.344359622639</v>
      </c>
      <c r="F21" s="103">
        <f t="shared" si="0"/>
        <v>234.00471725510465</v>
      </c>
      <c r="G21" s="100">
        <f>[2]Лист1!K5/1000</f>
        <v>4528.8104999999996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f>SUM(G21:M21)</f>
        <v>4528.8104999999996</v>
      </c>
      <c r="O21" s="100">
        <f t="shared" si="1"/>
        <v>62.038499999999992</v>
      </c>
      <c r="P21" s="103">
        <f>E21+N21</f>
        <v>21611.154859622638</v>
      </c>
      <c r="Q21" s="110">
        <v>73</v>
      </c>
      <c r="R21" s="97">
        <f t="shared" si="2"/>
        <v>296.04321725510465</v>
      </c>
    </row>
    <row r="22" spans="1:20" s="41" customFormat="1" ht="36.75" x14ac:dyDescent="0.25">
      <c r="A22" s="109" t="s">
        <v>79</v>
      </c>
      <c r="B22" s="108">
        <v>0</v>
      </c>
      <c r="C22" s="105">
        <f>[2]Лист1!G7/1000</f>
        <v>0</v>
      </c>
      <c r="D22" s="108">
        <v>0</v>
      </c>
      <c r="E22" s="103">
        <f>SUM(B22:D22)</f>
        <v>0</v>
      </c>
      <c r="F22" s="103">
        <f t="shared" si="0"/>
        <v>0</v>
      </c>
      <c r="G22" s="100">
        <f>[2]Лист1!L5/1000</f>
        <v>5831.6189999999997</v>
      </c>
      <c r="H22" s="100">
        <f>[2]Лист1!L9/1000</f>
        <v>635.59430188679255</v>
      </c>
      <c r="I22" s="102">
        <f>[2]Лист1!L10/1000</f>
        <v>563.11320754716974</v>
      </c>
      <c r="J22" s="100">
        <f>[2]Лист1!L11/1000</f>
        <v>0</v>
      </c>
      <c r="K22" s="100">
        <f>[2]Лист1!L12/1000</f>
        <v>70.752735849056592</v>
      </c>
      <c r="L22" s="102">
        <v>0</v>
      </c>
      <c r="M22" s="100">
        <f>[2]Лист1!L16/1000</f>
        <v>0</v>
      </c>
      <c r="N22" s="100">
        <f>SUM(G22:M22)</f>
        <v>7101.0792452830192</v>
      </c>
      <c r="O22" s="100">
        <f t="shared" si="1"/>
        <v>75.543396226415098</v>
      </c>
      <c r="P22" s="103">
        <f>E22+N22</f>
        <v>7101.0792452830192</v>
      </c>
      <c r="Q22" s="107">
        <v>94</v>
      </c>
      <c r="R22" s="97">
        <f t="shared" si="2"/>
        <v>75.543396226415098</v>
      </c>
    </row>
    <row r="23" spans="1:20" s="41" customFormat="1" ht="37.5" thickBot="1" x14ac:dyDescent="0.3">
      <c r="A23" s="106" t="s">
        <v>78</v>
      </c>
      <c r="B23" s="101">
        <v>0</v>
      </c>
      <c r="C23" s="105">
        <f>[2]Лист1!H7/1000</f>
        <v>0</v>
      </c>
      <c r="D23" s="101">
        <v>0</v>
      </c>
      <c r="E23" s="104">
        <f>B23+C23+D23</f>
        <v>0</v>
      </c>
      <c r="F23" s="103">
        <f t="shared" si="0"/>
        <v>0</v>
      </c>
      <c r="G23" s="100">
        <f>[2]Лист1!M5/1000</f>
        <v>20472.705000000002</v>
      </c>
      <c r="H23" s="101">
        <f>[2]Лист1!M9/1000</f>
        <v>2231.3416981132077</v>
      </c>
      <c r="I23" s="102">
        <f>[2]Лист1!M10/1000</f>
        <v>1976.8867924528302</v>
      </c>
      <c r="J23" s="100">
        <f>[2]Лист1!M11/1000</f>
        <v>0</v>
      </c>
      <c r="K23" s="101">
        <f>[2]Лист1!M12/1000</f>
        <v>248.38726415094337</v>
      </c>
      <c r="L23" s="101">
        <v>0</v>
      </c>
      <c r="M23" s="100">
        <f>[2]Лист1!M16/1000</f>
        <v>0</v>
      </c>
      <c r="N23" s="101">
        <f>SUM(G23:M23)</f>
        <v>24929.320754716984</v>
      </c>
      <c r="O23" s="100">
        <f t="shared" si="1"/>
        <v>75.543396226415098</v>
      </c>
      <c r="P23" s="99">
        <f>E23+N23</f>
        <v>24929.320754716984</v>
      </c>
      <c r="Q23" s="98">
        <v>330</v>
      </c>
      <c r="R23" s="97">
        <f t="shared" si="2"/>
        <v>75.543396226415098</v>
      </c>
    </row>
    <row r="24" spans="1:20" ht="15.75" thickBot="1" x14ac:dyDescent="0.3">
      <c r="A24" s="96" t="s">
        <v>38</v>
      </c>
      <c r="B24" s="95">
        <f>SUM(B19:B23)</f>
        <v>98174</v>
      </c>
      <c r="C24" s="95">
        <f>SUM(C19:C23)</f>
        <v>944</v>
      </c>
      <c r="D24" s="93">
        <f>SUM(D19:D23)</f>
        <v>100</v>
      </c>
      <c r="E24" s="95">
        <f>SUM(E19:E23)</f>
        <v>99218</v>
      </c>
      <c r="F24" s="94">
        <f t="shared" si="0"/>
        <v>234.00471698113208</v>
      </c>
      <c r="G24" s="93">
        <f>SUM(G19:G23)</f>
        <v>52608.648000000001</v>
      </c>
      <c r="H24" s="93">
        <f>SUM(H19:H23)</f>
        <v>2866.9360000000001</v>
      </c>
      <c r="I24" s="93">
        <f>SUM(I22:I23)</f>
        <v>2540</v>
      </c>
      <c r="J24" s="93">
        <f>SUM(J19:J23)</f>
        <v>0</v>
      </c>
      <c r="K24" s="93">
        <f>SUM(K19:K23)</f>
        <v>319.14</v>
      </c>
      <c r="L24" s="93">
        <f>SUM(L22:L23)</f>
        <v>0</v>
      </c>
      <c r="M24" s="93">
        <f>SUM(M19:M23)</f>
        <v>0</v>
      </c>
      <c r="N24" s="93">
        <f>SUM(N19:N23)</f>
        <v>58334.724000000002</v>
      </c>
      <c r="O24" s="92">
        <f t="shared" si="1"/>
        <v>137.5818962264151</v>
      </c>
      <c r="P24" s="91">
        <f>SUM(P19:P23)</f>
        <v>157552.72399999999</v>
      </c>
      <c r="Q24" s="90">
        <f>Q19+Q20+Q21</f>
        <v>424</v>
      </c>
      <c r="R24" s="89">
        <f t="shared" si="2"/>
        <v>371.58661320754715</v>
      </c>
    </row>
    <row r="25" spans="1:20" ht="8.4499999999999993" customHeight="1" x14ac:dyDescent="0.25">
      <c r="A25" s="38"/>
    </row>
    <row r="26" spans="1:20" ht="15.75" x14ac:dyDescent="0.25">
      <c r="A26" s="38" t="s">
        <v>77</v>
      </c>
    </row>
    <row r="27" spans="1:20" ht="15.75" x14ac:dyDescent="0.25">
      <c r="A27" s="38" t="s">
        <v>76</v>
      </c>
    </row>
    <row r="28" spans="1:20" ht="15.75" x14ac:dyDescent="0.25">
      <c r="A28" s="38" t="s">
        <v>75</v>
      </c>
    </row>
    <row r="29" spans="1:20" ht="15.75" x14ac:dyDescent="0.25">
      <c r="A29" s="38" t="s">
        <v>74</v>
      </c>
    </row>
    <row r="30" spans="1:20" ht="15.75" x14ac:dyDescent="0.25">
      <c r="A30" s="38" t="s">
        <v>73</v>
      </c>
    </row>
    <row r="31" spans="1:20" ht="10.9" customHeight="1" x14ac:dyDescent="0.25">
      <c r="A31" s="38"/>
    </row>
  </sheetData>
  <mergeCells count="23">
    <mergeCell ref="A8:R8"/>
    <mergeCell ref="A13:A15"/>
    <mergeCell ref="B13:F13"/>
    <mergeCell ref="B14:B15"/>
    <mergeCell ref="C14:C15"/>
    <mergeCell ref="D14:D15"/>
    <mergeCell ref="E14:F15"/>
    <mergeCell ref="N2:R2"/>
    <mergeCell ref="N3:R3"/>
    <mergeCell ref="N4:R4"/>
    <mergeCell ref="N5:R5"/>
    <mergeCell ref="K14:K15"/>
    <mergeCell ref="G13:O13"/>
    <mergeCell ref="L14:L15"/>
    <mergeCell ref="M14:M15"/>
    <mergeCell ref="N14:O15"/>
    <mergeCell ref="R13:R15"/>
    <mergeCell ref="H14:H15"/>
    <mergeCell ref="I14:I15"/>
    <mergeCell ref="J14:J15"/>
    <mergeCell ref="Q13:Q15"/>
    <mergeCell ref="G14:G15"/>
    <mergeCell ref="A10:R10"/>
  </mergeCells>
  <pageMargins left="0" right="0" top="0" bottom="0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zoomScale="60" zoomScaleNormal="90" workbookViewId="0">
      <selection activeCell="N5" sqref="N5:R5"/>
    </sheetView>
  </sheetViews>
  <sheetFormatPr defaultRowHeight="15" x14ac:dyDescent="0.25"/>
  <cols>
    <col min="1" max="1" width="35.28515625" customWidth="1"/>
    <col min="2" max="2" width="11.5703125" style="41" customWidth="1"/>
    <col min="3" max="4" width="10.140625" style="41" bestFit="1" customWidth="1"/>
    <col min="5" max="5" width="12.7109375" style="41" customWidth="1"/>
    <col min="6" max="6" width="9.28515625" style="41" bestFit="1" customWidth="1"/>
    <col min="7" max="7" width="11" style="41" customWidth="1"/>
    <col min="8" max="12" width="9.28515625" style="41" bestFit="1" customWidth="1"/>
    <col min="13" max="13" width="11.5703125" style="41" customWidth="1"/>
    <col min="14" max="14" width="12.140625" style="41" customWidth="1"/>
    <col min="15" max="15" width="9.28515625" style="41" bestFit="1" customWidth="1"/>
    <col min="16" max="16" width="11.28515625" style="41" customWidth="1"/>
    <col min="17" max="17" width="10.7109375" style="41" bestFit="1" customWidth="1"/>
    <col min="18" max="18" width="10.140625" style="41" bestFit="1" customWidth="1"/>
    <col min="19" max="25" width="9.140625" style="41"/>
  </cols>
  <sheetData>
    <row r="1" spans="1:18" s="44" customFormat="1" ht="15.75" customHeight="1" x14ac:dyDescent="0.2"/>
    <row r="2" spans="1:18" s="44" customFormat="1" ht="18" customHeight="1" x14ac:dyDescent="0.25">
      <c r="L2" s="46"/>
      <c r="M2" s="46"/>
      <c r="N2" s="230" t="s">
        <v>46</v>
      </c>
      <c r="O2" s="230"/>
      <c r="P2" s="230"/>
      <c r="Q2" s="230"/>
      <c r="R2" s="230"/>
    </row>
    <row r="3" spans="1:18" s="44" customFormat="1" ht="18" customHeight="1" x14ac:dyDescent="0.25">
      <c r="K3" s="48"/>
      <c r="L3" s="48"/>
      <c r="M3" s="48"/>
      <c r="N3" s="231" t="s">
        <v>44</v>
      </c>
      <c r="O3" s="231"/>
      <c r="P3" s="231"/>
      <c r="Q3" s="231"/>
      <c r="R3" s="231"/>
    </row>
    <row r="4" spans="1:18" s="44" customFormat="1" ht="18" customHeight="1" x14ac:dyDescent="0.25">
      <c r="K4" s="48" t="s">
        <v>47</v>
      </c>
      <c r="L4" s="48"/>
      <c r="M4" s="48"/>
      <c r="N4" s="231" t="s">
        <v>45</v>
      </c>
      <c r="O4" s="231"/>
      <c r="P4" s="231"/>
      <c r="Q4" s="231"/>
      <c r="R4" s="231"/>
    </row>
    <row r="5" spans="1:18" s="44" customFormat="1" ht="18" customHeight="1" x14ac:dyDescent="0.25">
      <c r="K5" s="46"/>
      <c r="L5" s="46"/>
      <c r="M5" s="46"/>
      <c r="N5" s="230" t="s">
        <v>126</v>
      </c>
      <c r="O5" s="230"/>
      <c r="P5" s="230"/>
      <c r="Q5" s="230"/>
      <c r="R5" s="230"/>
    </row>
    <row r="6" spans="1:18" s="44" customFormat="1" ht="18" customHeight="1" x14ac:dyDescent="0.25">
      <c r="K6" s="46"/>
      <c r="L6" s="46"/>
      <c r="M6" s="46"/>
      <c r="N6" s="47"/>
      <c r="O6" s="47"/>
      <c r="P6" s="47"/>
      <c r="Q6" s="47"/>
      <c r="R6" s="47"/>
    </row>
    <row r="8" spans="1:18" s="41" customFormat="1" ht="15.75" x14ac:dyDescent="0.25">
      <c r="A8" s="250" t="s">
        <v>98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</row>
    <row r="9" spans="1:18" s="41" customFormat="1" ht="15.75" x14ac:dyDescent="0.25">
      <c r="A9" s="128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</row>
    <row r="10" spans="1:18" s="41" customFormat="1" ht="33.75" customHeight="1" x14ac:dyDescent="0.25">
      <c r="A10" s="260" t="s">
        <v>99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</row>
    <row r="12" spans="1:18" s="41" customFormat="1" ht="15.75" thickBot="1" x14ac:dyDescent="0.3">
      <c r="A12"/>
    </row>
    <row r="13" spans="1:18" s="41" customFormat="1" ht="68.25" customHeight="1" thickBot="1" x14ac:dyDescent="0.3">
      <c r="A13" s="251" t="s">
        <v>2</v>
      </c>
      <c r="B13" s="261" t="s">
        <v>3</v>
      </c>
      <c r="C13" s="262"/>
      <c r="D13" s="262"/>
      <c r="E13" s="262"/>
      <c r="F13" s="262"/>
      <c r="G13" s="263" t="s">
        <v>4</v>
      </c>
      <c r="H13" s="264"/>
      <c r="I13" s="264"/>
      <c r="J13" s="264"/>
      <c r="K13" s="264"/>
      <c r="L13" s="264"/>
      <c r="M13" s="264"/>
      <c r="N13" s="264"/>
      <c r="O13" s="265"/>
      <c r="P13" s="142" t="s">
        <v>5</v>
      </c>
      <c r="Q13" s="266" t="s">
        <v>6</v>
      </c>
      <c r="R13" s="269" t="s">
        <v>88</v>
      </c>
    </row>
    <row r="14" spans="1:18" s="41" customFormat="1" ht="22.5" customHeight="1" x14ac:dyDescent="0.25">
      <c r="A14" s="252"/>
      <c r="B14" s="271" t="s">
        <v>87</v>
      </c>
      <c r="C14" s="271" t="s">
        <v>9</v>
      </c>
      <c r="D14" s="271" t="s">
        <v>10</v>
      </c>
      <c r="E14" s="272" t="s">
        <v>86</v>
      </c>
      <c r="F14" s="273"/>
      <c r="G14" s="267" t="s">
        <v>85</v>
      </c>
      <c r="H14" s="259" t="s">
        <v>13</v>
      </c>
      <c r="I14" s="259" t="s">
        <v>14</v>
      </c>
      <c r="J14" s="259" t="s">
        <v>54</v>
      </c>
      <c r="K14" s="267" t="s">
        <v>16</v>
      </c>
      <c r="L14" s="275" t="s">
        <v>17</v>
      </c>
      <c r="M14" s="277" t="s">
        <v>55</v>
      </c>
      <c r="N14" s="279" t="s">
        <v>19</v>
      </c>
      <c r="O14" s="280"/>
      <c r="P14" s="143" t="s">
        <v>20</v>
      </c>
      <c r="Q14" s="267"/>
      <c r="R14" s="270"/>
    </row>
    <row r="15" spans="1:18" s="41" customFormat="1" ht="68.25" customHeight="1" thickBot="1" x14ac:dyDescent="0.3">
      <c r="A15" s="252"/>
      <c r="B15" s="259"/>
      <c r="C15" s="259"/>
      <c r="D15" s="259"/>
      <c r="E15" s="267"/>
      <c r="F15" s="274"/>
      <c r="G15" s="267"/>
      <c r="H15" s="259"/>
      <c r="I15" s="259"/>
      <c r="J15" s="259"/>
      <c r="K15" s="267"/>
      <c r="L15" s="276"/>
      <c r="M15" s="278"/>
      <c r="N15" s="281"/>
      <c r="O15" s="282"/>
      <c r="P15" s="144"/>
      <c r="Q15" s="268"/>
      <c r="R15" s="270"/>
    </row>
    <row r="16" spans="1:18" s="41" customFormat="1" ht="39" customHeight="1" thickBot="1" x14ac:dyDescent="0.3">
      <c r="A16" s="124"/>
      <c r="B16" s="145" t="s">
        <v>21</v>
      </c>
      <c r="C16" s="145" t="s">
        <v>21</v>
      </c>
      <c r="D16" s="145" t="s">
        <v>21</v>
      </c>
      <c r="E16" s="145" t="s">
        <v>21</v>
      </c>
      <c r="F16" s="146" t="s">
        <v>22</v>
      </c>
      <c r="G16" s="145" t="s">
        <v>21</v>
      </c>
      <c r="H16" s="145" t="s">
        <v>21</v>
      </c>
      <c r="I16" s="145" t="s">
        <v>21</v>
      </c>
      <c r="J16" s="145" t="s">
        <v>21</v>
      </c>
      <c r="K16" s="145" t="s">
        <v>21</v>
      </c>
      <c r="L16" s="145" t="s">
        <v>21</v>
      </c>
      <c r="M16" s="145" t="s">
        <v>21</v>
      </c>
      <c r="N16" s="145" t="s">
        <v>21</v>
      </c>
      <c r="O16" s="146" t="s">
        <v>23</v>
      </c>
      <c r="P16" s="147" t="s">
        <v>21</v>
      </c>
      <c r="Q16" s="148" t="s">
        <v>92</v>
      </c>
      <c r="R16" s="146" t="s">
        <v>60</v>
      </c>
    </row>
    <row r="17" spans="1:19" s="41" customFormat="1" ht="19.5" customHeight="1" thickBot="1" x14ac:dyDescent="0.3">
      <c r="A17" s="119">
        <v>1</v>
      </c>
      <c r="B17" s="149">
        <v>2</v>
      </c>
      <c r="C17" s="149">
        <v>3</v>
      </c>
      <c r="D17" s="149">
        <v>4</v>
      </c>
      <c r="E17" s="149">
        <v>5</v>
      </c>
      <c r="F17" s="149">
        <v>6</v>
      </c>
      <c r="G17" s="149">
        <v>7</v>
      </c>
      <c r="H17" s="149">
        <v>8</v>
      </c>
      <c r="I17" s="149">
        <v>9</v>
      </c>
      <c r="J17" s="149">
        <v>10</v>
      </c>
      <c r="K17" s="149">
        <v>11</v>
      </c>
      <c r="L17" s="149">
        <v>12</v>
      </c>
      <c r="M17" s="149">
        <v>13</v>
      </c>
      <c r="N17" s="149">
        <v>14</v>
      </c>
      <c r="O17" s="149">
        <v>15</v>
      </c>
      <c r="P17" s="149">
        <v>16</v>
      </c>
      <c r="Q17" s="150">
        <v>17</v>
      </c>
      <c r="R17" s="151">
        <v>18</v>
      </c>
    </row>
    <row r="18" spans="1:19" s="41" customFormat="1" x14ac:dyDescent="0.25">
      <c r="A18" s="152" t="s">
        <v>26</v>
      </c>
      <c r="B18" s="153"/>
      <c r="C18" s="153"/>
      <c r="D18" s="153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5"/>
      <c r="R18" s="156"/>
    </row>
    <row r="19" spans="1:19" s="41" customFormat="1" ht="56.25" x14ac:dyDescent="0.25">
      <c r="A19" s="157" t="s">
        <v>100</v>
      </c>
      <c r="B19" s="105">
        <f>14091.91/34622*2391</f>
        <v>973.18920946219168</v>
      </c>
      <c r="C19" s="105">
        <f>36.41/34622*2391</f>
        <v>2.5144795216914098</v>
      </c>
      <c r="D19" s="105">
        <f>26.17/34622*2391</f>
        <v>1.8073037375079433</v>
      </c>
      <c r="E19" s="103">
        <f>SUM(B19:D19)</f>
        <v>977.51099272139106</v>
      </c>
      <c r="F19" s="103">
        <f>E19/Q19</f>
        <v>0.40882935705620704</v>
      </c>
      <c r="G19" s="105">
        <f>4156.53/34622*2391</f>
        <v>287.05052365547914</v>
      </c>
      <c r="H19" s="105">
        <f>311.03/34622*2391</f>
        <v>21.479773843221071</v>
      </c>
      <c r="I19" s="100">
        <v>0</v>
      </c>
      <c r="J19" s="105">
        <f>3.02/34622*2391</f>
        <v>0.20856160822598349</v>
      </c>
      <c r="K19" s="105">
        <f>72.75/34622*2391</f>
        <v>5.0241248339206281</v>
      </c>
      <c r="L19" s="105">
        <v>0</v>
      </c>
      <c r="M19" s="105">
        <f>1001.49/34622*2391</f>
        <v>69.163034775576222</v>
      </c>
      <c r="N19" s="103">
        <f>SUM(G19:M19)</f>
        <v>382.92601871642307</v>
      </c>
      <c r="O19" s="103">
        <f t="shared" ref="O19:O26" si="0">N19/Q19</f>
        <v>0.16015308185546762</v>
      </c>
      <c r="P19" s="103">
        <f>E19+N19</f>
        <v>1360.4370114378141</v>
      </c>
      <c r="Q19" s="158">
        <v>2391</v>
      </c>
      <c r="R19" s="159">
        <f>P19/Q19</f>
        <v>0.56898243891167466</v>
      </c>
    </row>
    <row r="20" spans="1:19" s="41" customFormat="1" ht="56.25" x14ac:dyDescent="0.25">
      <c r="A20" s="157" t="s">
        <v>101</v>
      </c>
      <c r="B20" s="105">
        <f>14091.91/34622*1832.75</f>
        <v>745.96926961180748</v>
      </c>
      <c r="C20" s="105">
        <f>36.41/34622*1832.75</f>
        <v>1.9273995580844547</v>
      </c>
      <c r="D20" s="105">
        <f>26.17/34622*1832.75</f>
        <v>1.3853349748714692</v>
      </c>
      <c r="E20" s="103">
        <f t="shared" ref="E20:E24" si="1">SUM(B20:D20)</f>
        <v>749.28200414476339</v>
      </c>
      <c r="F20" s="103">
        <f t="shared" ref="F20:F25" si="2">E20/Q20</f>
        <v>0.40882935705620699</v>
      </c>
      <c r="G20" s="105">
        <f>4156.53/34622*1832.75</f>
        <v>220.03004902951878</v>
      </c>
      <c r="H20" s="105">
        <f>311.03/34622*1832.75</f>
        <v>16.464682355149904</v>
      </c>
      <c r="I20" s="100">
        <v>0</v>
      </c>
      <c r="J20" s="105">
        <f>3.02/34622*1832.75</f>
        <v>0.15986670325226734</v>
      </c>
      <c r="K20" s="105">
        <f>72.75/34622*1832.75</f>
        <v>3.851093596557102</v>
      </c>
      <c r="L20" s="105"/>
      <c r="M20" s="105">
        <f>1001.49/34622*1832.75</f>
        <v>53.014869086130204</v>
      </c>
      <c r="N20" s="103">
        <f t="shared" ref="N20:N24" si="3">SUM(G20:M20)</f>
        <v>293.52056077060826</v>
      </c>
      <c r="O20" s="103">
        <f t="shared" si="0"/>
        <v>0.16015308185546762</v>
      </c>
      <c r="P20" s="103">
        <f t="shared" ref="P20:P23" si="4">E20+N20</f>
        <v>1042.8025649153717</v>
      </c>
      <c r="Q20" s="158">
        <v>1832.75</v>
      </c>
      <c r="R20" s="159">
        <f t="shared" ref="R20:R25" si="5">P20/Q20</f>
        <v>0.56898243891167466</v>
      </c>
    </row>
    <row r="21" spans="1:19" s="41" customFormat="1" ht="56.25" x14ac:dyDescent="0.25">
      <c r="A21" s="157" t="s">
        <v>102</v>
      </c>
      <c r="B21" s="105">
        <f>14091.91/34622*6725</f>
        <v>2737.2218459361102</v>
      </c>
      <c r="C21" s="105">
        <f>36.41/34622*6725</f>
        <v>7.0723022933394946</v>
      </c>
      <c r="D21" s="105">
        <f>26.17/34622*6725</f>
        <v>5.0832779735428346</v>
      </c>
      <c r="E21" s="103">
        <f t="shared" si="1"/>
        <v>2749.3774262029924</v>
      </c>
      <c r="F21" s="103">
        <f t="shared" si="2"/>
        <v>0.40882935705620704</v>
      </c>
      <c r="G21" s="105">
        <f>4156.53/34622*6725</f>
        <v>807.36711484027489</v>
      </c>
      <c r="H21" s="105">
        <f>311.03/34622*6725</f>
        <v>60.414671307261273</v>
      </c>
      <c r="I21" s="100">
        <v>0</v>
      </c>
      <c r="J21" s="105">
        <f>3.02/34622*6725</f>
        <v>0.5866067818150309</v>
      </c>
      <c r="K21" s="105">
        <f>72.75/34622*6725</f>
        <v>14.131007740742879</v>
      </c>
      <c r="L21" s="105"/>
      <c r="M21" s="105">
        <f>1001.49/34622*6725</f>
        <v>194.53007480792559</v>
      </c>
      <c r="N21" s="103">
        <f t="shared" si="3"/>
        <v>1077.0294754780198</v>
      </c>
      <c r="O21" s="103">
        <f t="shared" si="0"/>
        <v>0.16015308185546762</v>
      </c>
      <c r="P21" s="103">
        <f t="shared" si="4"/>
        <v>3826.4069016810122</v>
      </c>
      <c r="Q21" s="158">
        <v>6725</v>
      </c>
      <c r="R21" s="159">
        <f t="shared" si="5"/>
        <v>0.56898243891167466</v>
      </c>
    </row>
    <row r="22" spans="1:19" s="41" customFormat="1" ht="56.25" x14ac:dyDescent="0.25">
      <c r="A22" s="157" t="s">
        <v>103</v>
      </c>
      <c r="B22" s="105">
        <f>14091.91/34622*6228</f>
        <v>2534.9319935301255</v>
      </c>
      <c r="C22" s="105">
        <f>36.41/34622*6228</f>
        <v>6.5496354918837723</v>
      </c>
      <c r="D22" s="105">
        <f>26.17/34622*6228</f>
        <v>4.7076067240482935</v>
      </c>
      <c r="E22" s="103">
        <f t="shared" si="1"/>
        <v>2546.1892357460574</v>
      </c>
      <c r="F22" s="103">
        <f t="shared" si="2"/>
        <v>0.40882935705620704</v>
      </c>
      <c r="G22" s="105">
        <f>4156.53/34622*6228</f>
        <v>747.69998382531332</v>
      </c>
      <c r="H22" s="105">
        <f>311.03/34622*6228</f>
        <v>55.949824966784121</v>
      </c>
      <c r="I22" s="102">
        <v>0</v>
      </c>
      <c r="J22" s="105">
        <f>3.02/34622*6228</f>
        <v>0.54325457801397958</v>
      </c>
      <c r="K22" s="105">
        <f>72.75/34622*6228</f>
        <v>13.08667899023742</v>
      </c>
      <c r="L22" s="105"/>
      <c r="M22" s="105">
        <f>1001.49/34622*6228</f>
        <v>180.15365143550343</v>
      </c>
      <c r="N22" s="103">
        <f t="shared" si="3"/>
        <v>997.43339379585223</v>
      </c>
      <c r="O22" s="103">
        <f t="shared" si="0"/>
        <v>0.16015308185546759</v>
      </c>
      <c r="P22" s="103">
        <f t="shared" si="4"/>
        <v>3543.6226295419096</v>
      </c>
      <c r="Q22" s="160">
        <v>6228</v>
      </c>
      <c r="R22" s="159">
        <f t="shared" si="5"/>
        <v>0.56898243891167466</v>
      </c>
      <c r="S22" s="40"/>
    </row>
    <row r="23" spans="1:19" s="41" customFormat="1" ht="45" x14ac:dyDescent="0.25">
      <c r="A23" s="157" t="s">
        <v>104</v>
      </c>
      <c r="B23" s="105">
        <f>14091.91/34622*9361.25</f>
        <v>3810.2331606348566</v>
      </c>
      <c r="C23" s="105">
        <f>36.41/34622*9361.25</f>
        <v>9.8446973745017612</v>
      </c>
      <c r="D23" s="105">
        <f>26.17/34622*9361.25</f>
        <v>7.0759607330599055</v>
      </c>
      <c r="E23" s="103">
        <f t="shared" si="1"/>
        <v>3827.1538187424185</v>
      </c>
      <c r="F23" s="103">
        <f t="shared" si="2"/>
        <v>0.4088293570562071</v>
      </c>
      <c r="G23" s="105">
        <f>4156.53/34622*9361.25</f>
        <v>1123.8610265871409</v>
      </c>
      <c r="H23" s="105">
        <f>311.03/34622*9361.25</f>
        <v>84.097671639420014</v>
      </c>
      <c r="I23" s="102">
        <v>0</v>
      </c>
      <c r="J23" s="105">
        <f>3.02/34622*9361.25</f>
        <v>0.81656100167523538</v>
      </c>
      <c r="K23" s="105">
        <f>72.75/34622*9361.25</f>
        <v>19.670467838368666</v>
      </c>
      <c r="L23" s="105"/>
      <c r="M23" s="105">
        <f>1001.49/34622*9361.25</f>
        <v>270.78731045289123</v>
      </c>
      <c r="N23" s="103">
        <f t="shared" si="3"/>
        <v>1499.2330375194961</v>
      </c>
      <c r="O23" s="103">
        <f t="shared" si="0"/>
        <v>0.16015308185546759</v>
      </c>
      <c r="P23" s="103">
        <f t="shared" si="4"/>
        <v>5326.3868562619145</v>
      </c>
      <c r="Q23" s="160">
        <v>9361.25</v>
      </c>
      <c r="R23" s="159">
        <f t="shared" si="5"/>
        <v>0.56898243891167466</v>
      </c>
      <c r="S23" s="40"/>
    </row>
    <row r="24" spans="1:19" s="41" customFormat="1" ht="45" x14ac:dyDescent="0.25">
      <c r="A24" s="157" t="s">
        <v>105</v>
      </c>
      <c r="B24" s="105">
        <f>14091.91/34622*8084</f>
        <v>3290.3645208249091</v>
      </c>
      <c r="C24" s="105">
        <f>36.41/34622*8084</f>
        <v>8.5014857604991043</v>
      </c>
      <c r="D24" s="105">
        <f>26.17/34622*8084</f>
        <v>6.1105158569695579</v>
      </c>
      <c r="E24" s="103">
        <f t="shared" si="1"/>
        <v>3304.9765224423777</v>
      </c>
      <c r="F24" s="103">
        <f t="shared" si="2"/>
        <v>0.40882935705620704</v>
      </c>
      <c r="G24" s="105">
        <f>4156.53/34622*8084</f>
        <v>970.52130206227241</v>
      </c>
      <c r="H24" s="105">
        <f>311.03/34622*8084</f>
        <v>72.623375888163594</v>
      </c>
      <c r="I24" s="102">
        <v>0</v>
      </c>
      <c r="J24" s="105">
        <f>3.02/34622*8084</f>
        <v>0.70514932701750332</v>
      </c>
      <c r="K24" s="105">
        <f>72.75/34622*8084</f>
        <v>16.9866270001733</v>
      </c>
      <c r="L24" s="105"/>
      <c r="M24" s="105">
        <f>1001.49/34622*8084</f>
        <v>233.8410594419733</v>
      </c>
      <c r="N24" s="103">
        <f t="shared" si="3"/>
        <v>1294.6775137196003</v>
      </c>
      <c r="O24" s="103">
        <f t="shared" si="0"/>
        <v>0.16015308185546762</v>
      </c>
      <c r="P24" s="103">
        <f>E24+N24</f>
        <v>4599.6540361619782</v>
      </c>
      <c r="Q24" s="160">
        <v>8084</v>
      </c>
      <c r="R24" s="159">
        <f t="shared" si="5"/>
        <v>0.56898243891167466</v>
      </c>
      <c r="S24" s="40"/>
    </row>
    <row r="25" spans="1:19" s="41" customFormat="1" ht="34.5" thickBot="1" x14ac:dyDescent="0.3">
      <c r="A25" s="161" t="s">
        <v>106</v>
      </c>
      <c r="B25" s="99">
        <v>12504.83</v>
      </c>
      <c r="C25" s="99">
        <v>32.299999999999997</v>
      </c>
      <c r="D25" s="99">
        <v>23.23</v>
      </c>
      <c r="E25" s="104">
        <f t="shared" ref="E25" si="6">B25+C25+D25</f>
        <v>12560.359999999999</v>
      </c>
      <c r="F25" s="103">
        <f t="shared" si="2"/>
        <v>0.40882928774279642</v>
      </c>
      <c r="G25" s="99">
        <v>3688.4</v>
      </c>
      <c r="H25" s="99">
        <v>276</v>
      </c>
      <c r="I25" s="101">
        <v>0</v>
      </c>
      <c r="J25" s="99">
        <v>2.68</v>
      </c>
      <c r="K25" s="99">
        <v>64.55</v>
      </c>
      <c r="L25" s="101"/>
      <c r="M25" s="99">
        <v>888.7</v>
      </c>
      <c r="N25" s="99">
        <f>SUM(G25:M25)</f>
        <v>4920.33</v>
      </c>
      <c r="O25" s="162">
        <f t="shared" si="0"/>
        <v>0.16015265560537387</v>
      </c>
      <c r="P25" s="99">
        <f>E25+N25</f>
        <v>17480.689999999999</v>
      </c>
      <c r="Q25" s="163">
        <v>30722.75</v>
      </c>
      <c r="R25" s="159">
        <f t="shared" si="5"/>
        <v>0.56898194334817032</v>
      </c>
      <c r="S25" s="40"/>
    </row>
    <row r="26" spans="1:19" s="41" customFormat="1" ht="15.75" thickBot="1" x14ac:dyDescent="0.3">
      <c r="A26" s="164" t="s">
        <v>38</v>
      </c>
      <c r="B26" s="165">
        <f>SUM(B19:B25)</f>
        <v>26596.739999999998</v>
      </c>
      <c r="C26" s="165">
        <f>SUM(C19:C25)</f>
        <v>68.709999999999994</v>
      </c>
      <c r="D26" s="165">
        <f>SUM(D19:D25)</f>
        <v>49.400000000000006</v>
      </c>
      <c r="E26" s="165">
        <f>SUM(E19:E25)</f>
        <v>26714.85</v>
      </c>
      <c r="F26" s="166">
        <f>E26/Q26</f>
        <v>0.40882932446753562</v>
      </c>
      <c r="G26" s="165">
        <f>SUM(G19:G25)</f>
        <v>7844.93</v>
      </c>
      <c r="H26" s="165">
        <f>SUM(H19:H25)</f>
        <v>587.03</v>
      </c>
      <c r="I26" s="93">
        <f t="shared" ref="I26" si="7">SUM(I22:I25)</f>
        <v>0</v>
      </c>
      <c r="J26" s="93">
        <f>SUM(J19:J25)</f>
        <v>5.7</v>
      </c>
      <c r="K26" s="165">
        <f>SUM(K19:K25)</f>
        <v>137.30000000000001</v>
      </c>
      <c r="L26" s="93">
        <f>SUM(L22:L25)</f>
        <v>0</v>
      </c>
      <c r="M26" s="165">
        <f>SUM(M19:M25)</f>
        <v>1890.19</v>
      </c>
      <c r="N26" s="165">
        <f>SUM(N19:N25)</f>
        <v>10465.15</v>
      </c>
      <c r="O26" s="166">
        <f t="shared" si="0"/>
        <v>0.16015288144801226</v>
      </c>
      <c r="P26" s="165">
        <f>SUM(P19:P25)</f>
        <v>37180</v>
      </c>
      <c r="Q26" s="167">
        <f>SUM(Q19:Q25)</f>
        <v>65344.75</v>
      </c>
      <c r="R26" s="168">
        <f>P26/Q26</f>
        <v>0.56898220591554793</v>
      </c>
    </row>
    <row r="27" spans="1:19" s="41" customFormat="1" ht="15.75" x14ac:dyDescent="0.25">
      <c r="A27" s="169"/>
      <c r="P27" s="170"/>
    </row>
    <row r="28" spans="1:19" s="41" customFormat="1" ht="15.75" x14ac:dyDescent="0.25">
      <c r="A28" s="169" t="s">
        <v>77</v>
      </c>
    </row>
    <row r="29" spans="1:19" s="41" customFormat="1" ht="15.75" x14ac:dyDescent="0.25">
      <c r="A29" s="169" t="s">
        <v>76</v>
      </c>
    </row>
    <row r="30" spans="1:19" s="41" customFormat="1" ht="15.75" x14ac:dyDescent="0.25">
      <c r="A30" s="38" t="s">
        <v>75</v>
      </c>
    </row>
    <row r="31" spans="1:19" s="41" customFormat="1" ht="15.75" x14ac:dyDescent="0.25">
      <c r="A31" s="38" t="s">
        <v>74</v>
      </c>
    </row>
    <row r="32" spans="1:19" s="41" customFormat="1" ht="15.75" x14ac:dyDescent="0.25">
      <c r="A32" s="38" t="s">
        <v>73</v>
      </c>
    </row>
    <row r="33" spans="1:6" s="41" customFormat="1" x14ac:dyDescent="0.25">
      <c r="A33"/>
      <c r="F33" s="41" t="s">
        <v>72</v>
      </c>
    </row>
  </sheetData>
  <mergeCells count="23">
    <mergeCell ref="L14:L15"/>
    <mergeCell ref="M14:M15"/>
    <mergeCell ref="N14:O15"/>
    <mergeCell ref="N2:R2"/>
    <mergeCell ref="N3:R3"/>
    <mergeCell ref="N4:R4"/>
    <mergeCell ref="N5:R5"/>
    <mergeCell ref="J14:J15"/>
    <mergeCell ref="A8:R8"/>
    <mergeCell ref="A10:R10"/>
    <mergeCell ref="A13:A15"/>
    <mergeCell ref="B13:F13"/>
    <mergeCell ref="G13:O13"/>
    <mergeCell ref="Q13:Q15"/>
    <mergeCell ref="R13:R15"/>
    <mergeCell ref="B14:B15"/>
    <mergeCell ref="C14:C15"/>
    <mergeCell ref="D14:D15"/>
    <mergeCell ref="E14:F15"/>
    <mergeCell ref="G14:G15"/>
    <mergeCell ref="H14:H15"/>
    <mergeCell ref="I14:I15"/>
    <mergeCell ref="K14:K15"/>
  </mergeCells>
  <pageMargins left="0.39370078740157483" right="0" top="0.19685039370078741" bottom="0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N5" sqref="N5:R5"/>
    </sheetView>
  </sheetViews>
  <sheetFormatPr defaultColWidth="9.140625" defaultRowHeight="14.25" x14ac:dyDescent="0.2"/>
  <cols>
    <col min="1" max="1" width="32.28515625" style="44" customWidth="1"/>
    <col min="2" max="2" width="15.28515625" style="44" customWidth="1"/>
    <col min="3" max="3" width="11.7109375" style="44" customWidth="1"/>
    <col min="4" max="4" width="9.28515625" style="44" bestFit="1" customWidth="1"/>
    <col min="5" max="5" width="11.140625" style="44" customWidth="1"/>
    <col min="6" max="6" width="9.28515625" style="44" bestFit="1" customWidth="1"/>
    <col min="7" max="7" width="11.7109375" style="44" customWidth="1"/>
    <col min="8" max="8" width="11.5703125" style="44" customWidth="1"/>
    <col min="9" max="9" width="10" style="44" customWidth="1"/>
    <col min="10" max="12" width="9.28515625" style="44" bestFit="1" customWidth="1"/>
    <col min="13" max="13" width="9.5703125" style="44" bestFit="1" customWidth="1"/>
    <col min="14" max="14" width="11.42578125" style="44" customWidth="1"/>
    <col min="15" max="15" width="9.5703125" style="44" bestFit="1" customWidth="1"/>
    <col min="16" max="16" width="11.85546875" style="44" customWidth="1"/>
    <col min="17" max="17" width="10.42578125" style="44" bestFit="1" customWidth="1"/>
    <col min="18" max="18" width="10" style="44" customWidth="1"/>
    <col min="19" max="16384" width="9.140625" style="44"/>
  </cols>
  <sheetData>
    <row r="1" spans="1:18" ht="15.75" customHeight="1" x14ac:dyDescent="0.2"/>
    <row r="2" spans="1:18" ht="18" customHeight="1" x14ac:dyDescent="0.25">
      <c r="L2" s="46"/>
      <c r="M2" s="46"/>
      <c r="N2" s="230" t="s">
        <v>46</v>
      </c>
      <c r="O2" s="230"/>
      <c r="P2" s="230"/>
      <c r="Q2" s="230"/>
      <c r="R2" s="230"/>
    </row>
    <row r="3" spans="1:18" ht="18" customHeight="1" x14ac:dyDescent="0.25">
      <c r="K3" s="48"/>
      <c r="L3" s="48"/>
      <c r="M3" s="48"/>
      <c r="N3" s="231" t="s">
        <v>44</v>
      </c>
      <c r="O3" s="231"/>
      <c r="P3" s="231"/>
      <c r="Q3" s="231"/>
      <c r="R3" s="231"/>
    </row>
    <row r="4" spans="1:18" ht="18" customHeight="1" x14ac:dyDescent="0.25">
      <c r="K4" s="48" t="s">
        <v>47</v>
      </c>
      <c r="L4" s="48"/>
      <c r="M4" s="48"/>
      <c r="N4" s="231" t="s">
        <v>45</v>
      </c>
      <c r="O4" s="231"/>
      <c r="P4" s="231"/>
      <c r="Q4" s="231"/>
      <c r="R4" s="231"/>
    </row>
    <row r="5" spans="1:18" ht="18" customHeight="1" x14ac:dyDescent="0.25">
      <c r="K5" s="46"/>
      <c r="L5" s="46"/>
      <c r="M5" s="46"/>
      <c r="N5" s="230" t="s">
        <v>126</v>
      </c>
      <c r="O5" s="230"/>
      <c r="P5" s="230"/>
      <c r="Q5" s="230"/>
      <c r="R5" s="230"/>
    </row>
    <row r="8" spans="1:18" ht="18" x14ac:dyDescent="0.25">
      <c r="A8" s="295" t="s">
        <v>48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</row>
    <row r="9" spans="1:18" ht="15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29.25" customHeight="1" x14ac:dyDescent="0.2">
      <c r="A10" s="298" t="s">
        <v>49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</row>
    <row r="12" spans="1:18" ht="15" thickBot="1" x14ac:dyDescent="0.25"/>
    <row r="13" spans="1:18" ht="89.25" customHeight="1" thickBot="1" x14ac:dyDescent="0.25">
      <c r="A13" s="299" t="s">
        <v>2</v>
      </c>
      <c r="B13" s="301" t="s">
        <v>3</v>
      </c>
      <c r="C13" s="302"/>
      <c r="D13" s="302"/>
      <c r="E13" s="302"/>
      <c r="F13" s="302"/>
      <c r="G13" s="303" t="s">
        <v>4</v>
      </c>
      <c r="H13" s="304"/>
      <c r="I13" s="304"/>
      <c r="J13" s="304"/>
      <c r="K13" s="304"/>
      <c r="L13" s="304"/>
      <c r="M13" s="304"/>
      <c r="N13" s="304"/>
      <c r="O13" s="305"/>
      <c r="P13" s="50" t="s">
        <v>5</v>
      </c>
      <c r="Q13" s="306" t="s">
        <v>6</v>
      </c>
      <c r="R13" s="308" t="s">
        <v>50</v>
      </c>
    </row>
    <row r="14" spans="1:18" ht="22.5" customHeight="1" x14ac:dyDescent="0.2">
      <c r="A14" s="300"/>
      <c r="B14" s="283" t="s">
        <v>51</v>
      </c>
      <c r="C14" s="283" t="s">
        <v>9</v>
      </c>
      <c r="D14" s="283" t="s">
        <v>10</v>
      </c>
      <c r="E14" s="285" t="s">
        <v>52</v>
      </c>
      <c r="F14" s="286"/>
      <c r="G14" s="287" t="s">
        <v>53</v>
      </c>
      <c r="H14" s="284" t="s">
        <v>13</v>
      </c>
      <c r="I14" s="284" t="s">
        <v>14</v>
      </c>
      <c r="J14" s="284" t="s">
        <v>54</v>
      </c>
      <c r="K14" s="287" t="s">
        <v>16</v>
      </c>
      <c r="L14" s="296" t="s">
        <v>17</v>
      </c>
      <c r="M14" s="289" t="s">
        <v>55</v>
      </c>
      <c r="N14" s="291" t="s">
        <v>56</v>
      </c>
      <c r="O14" s="292"/>
      <c r="P14" s="51" t="s">
        <v>20</v>
      </c>
      <c r="Q14" s="287"/>
      <c r="R14" s="309"/>
    </row>
    <row r="15" spans="1:18" ht="79.5" customHeight="1" thickBot="1" x14ac:dyDescent="0.25">
      <c r="A15" s="300"/>
      <c r="B15" s="284"/>
      <c r="C15" s="284"/>
      <c r="D15" s="284"/>
      <c r="E15" s="287"/>
      <c r="F15" s="288"/>
      <c r="G15" s="287"/>
      <c r="H15" s="284"/>
      <c r="I15" s="284"/>
      <c r="J15" s="284"/>
      <c r="K15" s="287"/>
      <c r="L15" s="297"/>
      <c r="M15" s="290"/>
      <c r="N15" s="293"/>
      <c r="O15" s="294"/>
      <c r="P15" s="52"/>
      <c r="Q15" s="307"/>
      <c r="R15" s="309"/>
    </row>
    <row r="16" spans="1:18" ht="51" customHeight="1" thickBot="1" x14ac:dyDescent="0.25">
      <c r="A16" s="53"/>
      <c r="B16" s="54" t="s">
        <v>21</v>
      </c>
      <c r="C16" s="54" t="s">
        <v>21</v>
      </c>
      <c r="D16" s="54" t="s">
        <v>21</v>
      </c>
      <c r="E16" s="54" t="s">
        <v>21</v>
      </c>
      <c r="F16" s="55" t="s">
        <v>57</v>
      </c>
      <c r="G16" s="54" t="s">
        <v>21</v>
      </c>
      <c r="H16" s="54" t="s">
        <v>21</v>
      </c>
      <c r="I16" s="54" t="s">
        <v>21</v>
      </c>
      <c r="J16" s="54" t="s">
        <v>21</v>
      </c>
      <c r="K16" s="54" t="s">
        <v>21</v>
      </c>
      <c r="L16" s="54" t="s">
        <v>21</v>
      </c>
      <c r="M16" s="54" t="s">
        <v>21</v>
      </c>
      <c r="N16" s="54" t="s">
        <v>21</v>
      </c>
      <c r="O16" s="55" t="s">
        <v>58</v>
      </c>
      <c r="P16" s="56" t="s">
        <v>21</v>
      </c>
      <c r="Q16" s="57" t="s">
        <v>59</v>
      </c>
      <c r="R16" s="55" t="s">
        <v>60</v>
      </c>
    </row>
    <row r="17" spans="1:18" ht="19.5" customHeight="1" thickBot="1" x14ac:dyDescent="0.25">
      <c r="A17" s="54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9">
        <v>17</v>
      </c>
      <c r="R17" s="60">
        <v>18</v>
      </c>
    </row>
    <row r="18" spans="1:18" x14ac:dyDescent="0.2">
      <c r="A18" s="61" t="s">
        <v>26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4"/>
      <c r="R18" s="65"/>
    </row>
    <row r="19" spans="1:18" ht="38.25" x14ac:dyDescent="0.2">
      <c r="A19" s="66" t="s">
        <v>61</v>
      </c>
      <c r="B19" s="67">
        <v>8712.7199999999993</v>
      </c>
      <c r="C19" s="67">
        <v>58.1</v>
      </c>
      <c r="D19" s="67">
        <v>155.5</v>
      </c>
      <c r="E19" s="68">
        <f>SUM(B19:D19)</f>
        <v>8926.32</v>
      </c>
      <c r="F19" s="68">
        <f>E19/P19*100</f>
        <v>37.712648874280177</v>
      </c>
      <c r="G19" s="68">
        <v>10409.68</v>
      </c>
      <c r="H19" s="68">
        <v>2731.6</v>
      </c>
      <c r="I19" s="69">
        <v>352.9</v>
      </c>
      <c r="J19" s="68">
        <v>53.7</v>
      </c>
      <c r="K19" s="68">
        <v>72.7</v>
      </c>
      <c r="L19" s="69">
        <v>0</v>
      </c>
      <c r="M19" s="68">
        <v>1122.4000000000001</v>
      </c>
      <c r="N19" s="68">
        <f>SUM(G19:M19)</f>
        <v>14742.980000000001</v>
      </c>
      <c r="O19" s="68">
        <f>N19/P19*100</f>
        <v>62.287351125719816</v>
      </c>
      <c r="P19" s="68">
        <f>E19+N19</f>
        <v>23669.300000000003</v>
      </c>
      <c r="Q19" s="70" t="s">
        <v>62</v>
      </c>
      <c r="R19" s="71">
        <f>P19/103286</f>
        <v>0.22916271324284029</v>
      </c>
    </row>
    <row r="20" spans="1:18" ht="30" customHeight="1" thickBot="1" x14ac:dyDescent="0.25">
      <c r="A20" s="72" t="s">
        <v>63</v>
      </c>
      <c r="B20" s="73">
        <v>0</v>
      </c>
      <c r="C20" s="73">
        <v>121.75</v>
      </c>
      <c r="D20" s="73">
        <v>0</v>
      </c>
      <c r="E20" s="74">
        <f t="shared" ref="E20" si="0">B20+C20+D20</f>
        <v>121.75</v>
      </c>
      <c r="F20" s="68">
        <f>E20/P20*100</f>
        <v>100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68">
        <v>0</v>
      </c>
      <c r="N20" s="73">
        <f>SUM(G20:M20)</f>
        <v>0</v>
      </c>
      <c r="O20" s="68">
        <f>N20/P20*100</f>
        <v>0</v>
      </c>
      <c r="P20" s="73">
        <f>E20+N20</f>
        <v>121.75</v>
      </c>
      <c r="Q20" s="75" t="s">
        <v>64</v>
      </c>
      <c r="R20" s="76">
        <f>P20/50</f>
        <v>2.4350000000000001</v>
      </c>
    </row>
    <row r="21" spans="1:18" s="84" customFormat="1" ht="15" thickBot="1" x14ac:dyDescent="0.25">
      <c r="A21" s="77" t="s">
        <v>38</v>
      </c>
      <c r="B21" s="78">
        <f>SUM(B19:B20)</f>
        <v>8712.7199999999993</v>
      </c>
      <c r="C21" s="79">
        <f>SUM(C19:C20)</f>
        <v>179.85</v>
      </c>
      <c r="D21" s="79">
        <f>SUM(D19:D20)</f>
        <v>155.5</v>
      </c>
      <c r="E21" s="79">
        <f>SUM(E19:E20)</f>
        <v>9048.07</v>
      </c>
      <c r="F21" s="80" t="s">
        <v>65</v>
      </c>
      <c r="G21" s="79">
        <f>SUM(G19:G20)</f>
        <v>10409.68</v>
      </c>
      <c r="H21" s="79">
        <f>SUM(H19:H20)</f>
        <v>2731.6</v>
      </c>
      <c r="I21" s="79">
        <f t="shared" ref="I21" si="1">SUM(I19:I20)</f>
        <v>352.9</v>
      </c>
      <c r="J21" s="79">
        <f>SUM(J19:J20)</f>
        <v>53.7</v>
      </c>
      <c r="K21" s="79">
        <f>SUM(K19:K20)</f>
        <v>72.7</v>
      </c>
      <c r="L21" s="79">
        <f>SUM(L19:L20)</f>
        <v>0</v>
      </c>
      <c r="M21" s="79">
        <f>SUM(M19:M20)</f>
        <v>1122.4000000000001</v>
      </c>
      <c r="N21" s="79">
        <f>SUM(N19:N20)</f>
        <v>14742.980000000001</v>
      </c>
      <c r="O21" s="80" t="s">
        <v>65</v>
      </c>
      <c r="P21" s="81">
        <f>SUM(P19:P20)</f>
        <v>23791.050000000003</v>
      </c>
      <c r="Q21" s="82">
        <f>SUM(Q19:Q20)</f>
        <v>0</v>
      </c>
      <c r="R21" s="83" t="s">
        <v>65</v>
      </c>
    </row>
    <row r="22" spans="1:18" x14ac:dyDescent="0.2">
      <c r="A22" s="85"/>
    </row>
    <row r="23" spans="1:18" x14ac:dyDescent="0.2">
      <c r="A23" s="85" t="s">
        <v>66</v>
      </c>
      <c r="P23" s="86"/>
    </row>
    <row r="24" spans="1:18" x14ac:dyDescent="0.2">
      <c r="A24" s="85" t="s">
        <v>67</v>
      </c>
    </row>
    <row r="25" spans="1:18" x14ac:dyDescent="0.2">
      <c r="A25" s="85" t="s">
        <v>68</v>
      </c>
      <c r="P25" s="87"/>
    </row>
    <row r="26" spans="1:18" x14ac:dyDescent="0.2">
      <c r="A26" s="85" t="s">
        <v>69</v>
      </c>
    </row>
    <row r="27" spans="1:18" x14ac:dyDescent="0.2">
      <c r="A27" s="85" t="s">
        <v>70</v>
      </c>
    </row>
    <row r="28" spans="1:18" x14ac:dyDescent="0.2">
      <c r="A28" s="85"/>
    </row>
    <row r="29" spans="1:18" x14ac:dyDescent="0.2">
      <c r="B29" s="88"/>
    </row>
  </sheetData>
  <mergeCells count="23">
    <mergeCell ref="A10:R10"/>
    <mergeCell ref="A13:A15"/>
    <mergeCell ref="B13:F13"/>
    <mergeCell ref="G13:O13"/>
    <mergeCell ref="Q13:Q15"/>
    <mergeCell ref="R13:R15"/>
    <mergeCell ref="B14:B15"/>
    <mergeCell ref="A8:R8"/>
    <mergeCell ref="N2:R2"/>
    <mergeCell ref="N3:R3"/>
    <mergeCell ref="N4:R4"/>
    <mergeCell ref="N5:R5"/>
    <mergeCell ref="C14:C15"/>
    <mergeCell ref="D14:D15"/>
    <mergeCell ref="E14:F15"/>
    <mergeCell ref="M14:M15"/>
    <mergeCell ref="N14:O15"/>
    <mergeCell ref="G14:G15"/>
    <mergeCell ref="H14:H15"/>
    <mergeCell ref="I14:I15"/>
    <mergeCell ref="J14:J15"/>
    <mergeCell ref="K14:K15"/>
    <mergeCell ref="L14:L15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90" zoomScaleNormal="90" workbookViewId="0">
      <selection activeCell="N5" sqref="N5:R5"/>
    </sheetView>
  </sheetViews>
  <sheetFormatPr defaultColWidth="9.140625" defaultRowHeight="14.25" x14ac:dyDescent="0.2"/>
  <cols>
    <col min="1" max="1" width="36.85546875" style="44" customWidth="1"/>
    <col min="2" max="3" width="10.85546875" style="44" customWidth="1"/>
    <col min="4" max="4" width="9.140625" style="44"/>
    <col min="5" max="5" width="11.42578125" style="44" customWidth="1"/>
    <col min="6" max="6" width="9.140625" style="44"/>
    <col min="7" max="9" width="10.5703125" style="44" customWidth="1"/>
    <col min="10" max="10" width="10.42578125" style="44" customWidth="1"/>
    <col min="11" max="11" width="9.140625" style="44"/>
    <col min="12" max="12" width="10.7109375" style="44" customWidth="1"/>
    <col min="13" max="13" width="9.140625" style="44"/>
    <col min="14" max="14" width="10.5703125" style="44" customWidth="1"/>
    <col min="15" max="15" width="8.85546875" style="44" customWidth="1"/>
    <col min="16" max="16" width="12.85546875" style="44" customWidth="1"/>
    <col min="17" max="18" width="11.140625" style="44" customWidth="1"/>
    <col min="19" max="16384" width="9.140625" style="44"/>
  </cols>
  <sheetData>
    <row r="1" spans="1:18" ht="15.75" customHeight="1" x14ac:dyDescent="0.2"/>
    <row r="2" spans="1:18" ht="18" customHeight="1" x14ac:dyDescent="0.25">
      <c r="L2" s="46"/>
      <c r="M2" s="46"/>
      <c r="N2" s="230" t="s">
        <v>46</v>
      </c>
      <c r="O2" s="230"/>
      <c r="P2" s="230"/>
      <c r="Q2" s="230"/>
      <c r="R2" s="230"/>
    </row>
    <row r="3" spans="1:18" ht="18" customHeight="1" x14ac:dyDescent="0.25">
      <c r="K3" s="48"/>
      <c r="L3" s="48"/>
      <c r="M3" s="48"/>
      <c r="N3" s="231" t="s">
        <v>44</v>
      </c>
      <c r="O3" s="231"/>
      <c r="P3" s="231"/>
      <c r="Q3" s="231"/>
      <c r="R3" s="231"/>
    </row>
    <row r="4" spans="1:18" ht="18" customHeight="1" x14ac:dyDescent="0.25">
      <c r="K4" s="48" t="s">
        <v>47</v>
      </c>
      <c r="L4" s="48"/>
      <c r="M4" s="48"/>
      <c r="N4" s="231" t="s">
        <v>45</v>
      </c>
      <c r="O4" s="231"/>
      <c r="P4" s="231"/>
      <c r="Q4" s="231"/>
      <c r="R4" s="231"/>
    </row>
    <row r="5" spans="1:18" ht="18" customHeight="1" x14ac:dyDescent="0.25">
      <c r="K5" s="46"/>
      <c r="L5" s="46"/>
      <c r="M5" s="46"/>
      <c r="N5" s="230" t="s">
        <v>126</v>
      </c>
      <c r="O5" s="230"/>
      <c r="P5" s="230"/>
      <c r="Q5" s="230"/>
      <c r="R5" s="230"/>
    </row>
    <row r="8" spans="1:18" ht="18" x14ac:dyDescent="0.25">
      <c r="A8" s="295" t="s">
        <v>48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</row>
    <row r="9" spans="1:18" ht="15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0" customHeight="1" x14ac:dyDescent="0.2">
      <c r="A10" s="298" t="s">
        <v>91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</row>
    <row r="12" spans="1:18" ht="15" thickBot="1" x14ac:dyDescent="0.25"/>
    <row r="13" spans="1:18" ht="68.25" customHeight="1" thickBot="1" x14ac:dyDescent="0.25">
      <c r="A13" s="299" t="s">
        <v>2</v>
      </c>
      <c r="B13" s="301" t="s">
        <v>3</v>
      </c>
      <c r="C13" s="302"/>
      <c r="D13" s="302"/>
      <c r="E13" s="302"/>
      <c r="F13" s="302"/>
      <c r="G13" s="303" t="s">
        <v>4</v>
      </c>
      <c r="H13" s="304"/>
      <c r="I13" s="304"/>
      <c r="J13" s="304"/>
      <c r="K13" s="304"/>
      <c r="L13" s="304"/>
      <c r="M13" s="304"/>
      <c r="N13" s="304"/>
      <c r="O13" s="305"/>
      <c r="P13" s="50" t="s">
        <v>5</v>
      </c>
      <c r="Q13" s="306" t="s">
        <v>6</v>
      </c>
      <c r="R13" s="308" t="s">
        <v>50</v>
      </c>
    </row>
    <row r="14" spans="1:18" ht="22.5" customHeight="1" x14ac:dyDescent="0.2">
      <c r="A14" s="300"/>
      <c r="B14" s="283" t="s">
        <v>51</v>
      </c>
      <c r="C14" s="283" t="s">
        <v>9</v>
      </c>
      <c r="D14" s="283" t="s">
        <v>10</v>
      </c>
      <c r="E14" s="285" t="s">
        <v>52</v>
      </c>
      <c r="F14" s="286"/>
      <c r="G14" s="287" t="s">
        <v>53</v>
      </c>
      <c r="H14" s="284" t="s">
        <v>13</v>
      </c>
      <c r="I14" s="284" t="s">
        <v>14</v>
      </c>
      <c r="J14" s="284" t="s">
        <v>54</v>
      </c>
      <c r="K14" s="287" t="s">
        <v>16</v>
      </c>
      <c r="L14" s="296" t="s">
        <v>17</v>
      </c>
      <c r="M14" s="289" t="s">
        <v>55</v>
      </c>
      <c r="N14" s="291" t="s">
        <v>56</v>
      </c>
      <c r="O14" s="292"/>
      <c r="P14" s="51" t="s">
        <v>20</v>
      </c>
      <c r="Q14" s="287"/>
      <c r="R14" s="309"/>
    </row>
    <row r="15" spans="1:18" ht="82.9" customHeight="1" thickBot="1" x14ac:dyDescent="0.25">
      <c r="A15" s="300"/>
      <c r="B15" s="284"/>
      <c r="C15" s="284"/>
      <c r="D15" s="284"/>
      <c r="E15" s="287"/>
      <c r="F15" s="288"/>
      <c r="G15" s="287"/>
      <c r="H15" s="284"/>
      <c r="I15" s="284"/>
      <c r="J15" s="284"/>
      <c r="K15" s="287"/>
      <c r="L15" s="297"/>
      <c r="M15" s="290"/>
      <c r="N15" s="293"/>
      <c r="O15" s="294"/>
      <c r="P15" s="52"/>
      <c r="Q15" s="307"/>
      <c r="R15" s="309"/>
    </row>
    <row r="16" spans="1:18" ht="37.5" customHeight="1" thickBot="1" x14ac:dyDescent="0.25">
      <c r="A16" s="53"/>
      <c r="B16" s="54" t="s">
        <v>21</v>
      </c>
      <c r="C16" s="54" t="s">
        <v>21</v>
      </c>
      <c r="D16" s="54" t="s">
        <v>21</v>
      </c>
      <c r="E16" s="54" t="s">
        <v>21</v>
      </c>
      <c r="F16" s="55" t="s">
        <v>57</v>
      </c>
      <c r="G16" s="54" t="s">
        <v>21</v>
      </c>
      <c r="H16" s="54" t="s">
        <v>21</v>
      </c>
      <c r="I16" s="54" t="s">
        <v>21</v>
      </c>
      <c r="J16" s="54" t="s">
        <v>21</v>
      </c>
      <c r="K16" s="54" t="s">
        <v>21</v>
      </c>
      <c r="L16" s="54" t="s">
        <v>21</v>
      </c>
      <c r="M16" s="54" t="s">
        <v>21</v>
      </c>
      <c r="N16" s="54" t="s">
        <v>21</v>
      </c>
      <c r="O16" s="55" t="s">
        <v>58</v>
      </c>
      <c r="P16" s="56" t="s">
        <v>21</v>
      </c>
      <c r="Q16" s="57" t="s">
        <v>92</v>
      </c>
      <c r="R16" s="55" t="s">
        <v>60</v>
      </c>
    </row>
    <row r="17" spans="1:18" ht="19.5" customHeight="1" thickBot="1" x14ac:dyDescent="0.25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9">
        <v>17</v>
      </c>
      <c r="R17" s="60">
        <v>18</v>
      </c>
    </row>
    <row r="18" spans="1:18" ht="16.5" customHeight="1" x14ac:dyDescent="0.2">
      <c r="A18" s="129" t="s">
        <v>26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4"/>
      <c r="R18" s="65"/>
    </row>
    <row r="19" spans="1:18" ht="38.25" x14ac:dyDescent="0.2">
      <c r="A19" s="66" t="s">
        <v>93</v>
      </c>
      <c r="B19" s="130">
        <v>5126.78</v>
      </c>
      <c r="C19" s="130">
        <v>527.77</v>
      </c>
      <c r="D19" s="130">
        <v>8</v>
      </c>
      <c r="E19" s="131">
        <f>B19+C19+D19</f>
        <v>5662.5499999999993</v>
      </c>
      <c r="F19" s="131">
        <f>E19/Q19</f>
        <v>0.19702679192762698</v>
      </c>
      <c r="G19" s="130">
        <v>7907.74</v>
      </c>
      <c r="H19" s="130">
        <v>531.97</v>
      </c>
      <c r="I19" s="132">
        <v>539.29999999999995</v>
      </c>
      <c r="J19" s="132">
        <v>0</v>
      </c>
      <c r="K19" s="130">
        <v>99.2</v>
      </c>
      <c r="L19" s="132">
        <v>0</v>
      </c>
      <c r="M19" s="130">
        <v>698.04</v>
      </c>
      <c r="N19" s="130">
        <f>SUM(G19:M19)</f>
        <v>9776.25</v>
      </c>
      <c r="O19" s="131">
        <f>N19/Q19</f>
        <v>0.34016179540709812</v>
      </c>
      <c r="P19" s="130">
        <f>E19+N19</f>
        <v>15438.8</v>
      </c>
      <c r="Q19" s="133">
        <v>28740</v>
      </c>
      <c r="R19" s="134">
        <f>P19/Q19</f>
        <v>0.53718858733472508</v>
      </c>
    </row>
    <row r="20" spans="1:18" ht="70.150000000000006" customHeight="1" thickBot="1" x14ac:dyDescent="0.25">
      <c r="A20" s="135" t="s">
        <v>94</v>
      </c>
      <c r="B20" s="130">
        <v>2210.2800000000002</v>
      </c>
      <c r="C20" s="130">
        <v>231.4</v>
      </c>
      <c r="D20" s="130">
        <v>20</v>
      </c>
      <c r="E20" s="131">
        <f>B20+C20+D20</f>
        <v>2461.6800000000003</v>
      </c>
      <c r="F20" s="131">
        <f>E20/Q20</f>
        <v>0.43187368421052635</v>
      </c>
      <c r="G20" s="136">
        <v>0</v>
      </c>
      <c r="H20" s="136">
        <v>0</v>
      </c>
      <c r="I20" s="132">
        <v>116.7</v>
      </c>
      <c r="J20" s="132">
        <v>160</v>
      </c>
      <c r="K20" s="132">
        <v>0</v>
      </c>
      <c r="L20" s="132">
        <v>0</v>
      </c>
      <c r="M20" s="132">
        <v>0</v>
      </c>
      <c r="N20" s="130">
        <f>SUM(G20:M20)</f>
        <v>276.7</v>
      </c>
      <c r="O20" s="131">
        <f>N20/Q20</f>
        <v>4.8543859649122806E-2</v>
      </c>
      <c r="P20" s="130">
        <f>E20+N20</f>
        <v>2738.38</v>
      </c>
      <c r="Q20" s="133">
        <v>5700</v>
      </c>
      <c r="R20" s="134">
        <f>P20/Q20</f>
        <v>0.48041754385964913</v>
      </c>
    </row>
    <row r="21" spans="1:18" ht="15" thickBot="1" x14ac:dyDescent="0.25">
      <c r="A21" s="137" t="s">
        <v>38</v>
      </c>
      <c r="B21" s="138">
        <f>SUM(B19:B20)</f>
        <v>7337.0599999999995</v>
      </c>
      <c r="C21" s="138">
        <f t="shared" ref="C21:R21" si="0">SUM(C19:C20)</f>
        <v>759.17</v>
      </c>
      <c r="D21" s="138">
        <f t="shared" si="0"/>
        <v>28</v>
      </c>
      <c r="E21" s="138">
        <f t="shared" si="0"/>
        <v>8124.23</v>
      </c>
      <c r="F21" s="138">
        <f t="shared" si="0"/>
        <v>0.62890047613815336</v>
      </c>
      <c r="G21" s="138">
        <f t="shared" si="0"/>
        <v>7907.74</v>
      </c>
      <c r="H21" s="138">
        <f t="shared" si="0"/>
        <v>531.97</v>
      </c>
      <c r="I21" s="138">
        <f t="shared" si="0"/>
        <v>656</v>
      </c>
      <c r="J21" s="138">
        <f t="shared" si="0"/>
        <v>160</v>
      </c>
      <c r="K21" s="138">
        <f t="shared" si="0"/>
        <v>99.2</v>
      </c>
      <c r="L21" s="139">
        <f t="shared" si="0"/>
        <v>0</v>
      </c>
      <c r="M21" s="138">
        <f t="shared" si="0"/>
        <v>698.04</v>
      </c>
      <c r="N21" s="138">
        <f t="shared" si="0"/>
        <v>10052.950000000001</v>
      </c>
      <c r="O21" s="138">
        <f t="shared" si="0"/>
        <v>0.3887056550562209</v>
      </c>
      <c r="P21" s="138">
        <f>SUM(P19:P20)</f>
        <v>18177.18</v>
      </c>
      <c r="Q21" s="138">
        <f t="shared" si="0"/>
        <v>34440</v>
      </c>
      <c r="R21" s="138">
        <f t="shared" si="0"/>
        <v>1.0176061311943743</v>
      </c>
    </row>
    <row r="22" spans="1:18" x14ac:dyDescent="0.2">
      <c r="A22" s="85"/>
    </row>
    <row r="23" spans="1:18" x14ac:dyDescent="0.2">
      <c r="A23" s="85" t="s">
        <v>66</v>
      </c>
    </row>
    <row r="24" spans="1:18" x14ac:dyDescent="0.2">
      <c r="A24" s="85" t="s">
        <v>67</v>
      </c>
    </row>
    <row r="25" spans="1:18" x14ac:dyDescent="0.2">
      <c r="A25" s="85" t="s">
        <v>68</v>
      </c>
    </row>
    <row r="26" spans="1:18" x14ac:dyDescent="0.2">
      <c r="A26" s="85" t="s">
        <v>69</v>
      </c>
    </row>
    <row r="27" spans="1:18" x14ac:dyDescent="0.2">
      <c r="A27" s="85" t="s">
        <v>70</v>
      </c>
    </row>
    <row r="28" spans="1:18" x14ac:dyDescent="0.2">
      <c r="A28" s="85"/>
    </row>
    <row r="30" spans="1:18" ht="15.75" x14ac:dyDescent="0.2">
      <c r="A30" s="140" t="s">
        <v>95</v>
      </c>
      <c r="B30" s="310" t="s">
        <v>96</v>
      </c>
      <c r="C30" s="310"/>
    </row>
    <row r="31" spans="1:18" ht="15.75" x14ac:dyDescent="0.2">
      <c r="A31" s="140"/>
      <c r="B31" s="140"/>
      <c r="C31" s="140"/>
    </row>
    <row r="32" spans="1:18" ht="15.75" x14ac:dyDescent="0.2">
      <c r="A32" s="140"/>
      <c r="B32" s="140"/>
      <c r="C32" s="140"/>
    </row>
    <row r="33" spans="1:3" ht="15.75" x14ac:dyDescent="0.2">
      <c r="A33" s="140" t="s">
        <v>71</v>
      </c>
      <c r="B33" s="310" t="s">
        <v>97</v>
      </c>
      <c r="C33" s="310"/>
    </row>
  </sheetData>
  <mergeCells count="25">
    <mergeCell ref="A10:R10"/>
    <mergeCell ref="N2:R2"/>
    <mergeCell ref="N3:R3"/>
    <mergeCell ref="N4:R4"/>
    <mergeCell ref="N5:R5"/>
    <mergeCell ref="A8:R8"/>
    <mergeCell ref="A13:A15"/>
    <mergeCell ref="B13:F13"/>
    <mergeCell ref="G13:O13"/>
    <mergeCell ref="Q13:Q15"/>
    <mergeCell ref="R13:R15"/>
    <mergeCell ref="B14:B15"/>
    <mergeCell ref="C14:C15"/>
    <mergeCell ref="D14:D15"/>
    <mergeCell ref="E14:F15"/>
    <mergeCell ref="G14:G15"/>
    <mergeCell ref="N14:O15"/>
    <mergeCell ref="K14:K15"/>
    <mergeCell ref="L14:L15"/>
    <mergeCell ref="M14:M15"/>
    <mergeCell ref="B30:C30"/>
    <mergeCell ref="B33:C33"/>
    <mergeCell ref="H14:H15"/>
    <mergeCell ref="I14:I15"/>
    <mergeCell ref="J14:J15"/>
  </mergeCells>
  <pageMargins left="0.78740157480314965" right="0.78740157480314965" top="0.39370078740157483" bottom="0.3937007874015748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"/>
  <sheetViews>
    <sheetView topLeftCell="A3" workbookViewId="0">
      <selection activeCell="N7" sqref="N7:R7"/>
    </sheetView>
  </sheetViews>
  <sheetFormatPr defaultColWidth="8.85546875" defaultRowHeight="15.75" x14ac:dyDescent="0.25"/>
  <cols>
    <col min="1" max="1" width="42.28515625" style="172" customWidth="1"/>
    <col min="2" max="2" width="13" style="172" customWidth="1"/>
    <col min="3" max="3" width="14.28515625" style="172" customWidth="1"/>
    <col min="4" max="4" width="12.28515625" style="172" customWidth="1"/>
    <col min="5" max="5" width="10.7109375" style="172" customWidth="1"/>
    <col min="6" max="6" width="10.85546875" style="172" customWidth="1"/>
    <col min="7" max="7" width="12.42578125" style="172" customWidth="1"/>
    <col min="8" max="8" width="10.42578125" style="172" customWidth="1"/>
    <col min="9" max="9" width="11.42578125" style="172" customWidth="1"/>
    <col min="10" max="11" width="14.28515625" style="172" customWidth="1"/>
    <col min="12" max="12" width="13" style="172" customWidth="1"/>
    <col min="13" max="13" width="12.7109375" style="172" customWidth="1"/>
    <col min="14" max="14" width="11.28515625" style="172" customWidth="1"/>
    <col min="15" max="15" width="14.5703125" style="172" customWidth="1"/>
    <col min="16" max="16" width="14.42578125" style="172" customWidth="1"/>
    <col min="17" max="17" width="14.140625" style="172" customWidth="1"/>
    <col min="18" max="18" width="17.28515625" style="172" customWidth="1"/>
    <col min="19" max="16384" width="8.85546875" style="172"/>
  </cols>
  <sheetData>
    <row r="1" spans="1:18" hidden="1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18" hidden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1:18" s="44" customFormat="1" ht="15.75" customHeight="1" x14ac:dyDescent="0.2"/>
    <row r="4" spans="1:18" s="44" customFormat="1" ht="18" customHeight="1" x14ac:dyDescent="0.25">
      <c r="L4" s="46"/>
      <c r="M4" s="46"/>
      <c r="N4" s="230" t="s">
        <v>46</v>
      </c>
      <c r="O4" s="230"/>
      <c r="P4" s="230"/>
      <c r="Q4" s="230"/>
      <c r="R4" s="230"/>
    </row>
    <row r="5" spans="1:18" s="44" customFormat="1" ht="18" customHeight="1" x14ac:dyDescent="0.25">
      <c r="K5" s="48"/>
      <c r="L5" s="48"/>
      <c r="M5" s="48"/>
      <c r="N5" s="231" t="s">
        <v>44</v>
      </c>
      <c r="O5" s="231"/>
      <c r="P5" s="231"/>
      <c r="Q5" s="231"/>
      <c r="R5" s="231"/>
    </row>
    <row r="6" spans="1:18" s="44" customFormat="1" ht="18" customHeight="1" x14ac:dyDescent="0.25">
      <c r="K6" s="48" t="s">
        <v>47</v>
      </c>
      <c r="L6" s="48"/>
      <c r="M6" s="48"/>
      <c r="N6" s="231" t="s">
        <v>45</v>
      </c>
      <c r="O6" s="231"/>
      <c r="P6" s="231"/>
      <c r="Q6" s="231"/>
      <c r="R6" s="231"/>
    </row>
    <row r="7" spans="1:18" s="44" customFormat="1" ht="18" customHeight="1" x14ac:dyDescent="0.25">
      <c r="K7" s="46"/>
      <c r="L7" s="46"/>
      <c r="M7" s="46"/>
      <c r="N7" s="230" t="s">
        <v>126</v>
      </c>
      <c r="O7" s="230"/>
      <c r="P7" s="230"/>
      <c r="Q7" s="230"/>
      <c r="R7" s="230"/>
    </row>
    <row r="8" spans="1:18" ht="48.75" customHeight="1" x14ac:dyDescent="0.25">
      <c r="A8" s="312" t="s">
        <v>108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</row>
    <row r="9" spans="1:18" hidden="1" x14ac:dyDescent="0.2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18" ht="38.450000000000003" customHeight="1" thickBot="1" x14ac:dyDescent="0.3">
      <c r="A10" s="314" t="s">
        <v>109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</row>
    <row r="11" spans="1:18" ht="13.15" hidden="1" customHeight="1" x14ac:dyDescent="0.2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</row>
    <row r="12" spans="1:18" ht="16.5" hidden="1" thickBot="1" x14ac:dyDescent="0.3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</row>
    <row r="13" spans="1:18" ht="103.5" customHeight="1" thickBot="1" x14ac:dyDescent="0.3">
      <c r="A13" s="315" t="s">
        <v>2</v>
      </c>
      <c r="B13" s="316" t="s">
        <v>3</v>
      </c>
      <c r="C13" s="317"/>
      <c r="D13" s="317"/>
      <c r="E13" s="317"/>
      <c r="F13" s="317"/>
      <c r="G13" s="318" t="s">
        <v>4</v>
      </c>
      <c r="H13" s="319"/>
      <c r="I13" s="319"/>
      <c r="J13" s="319"/>
      <c r="K13" s="319"/>
      <c r="L13" s="319"/>
      <c r="M13" s="319"/>
      <c r="N13" s="319"/>
      <c r="O13" s="320"/>
      <c r="P13" s="173" t="s">
        <v>5</v>
      </c>
      <c r="Q13" s="321" t="s">
        <v>6</v>
      </c>
      <c r="R13" s="323" t="s">
        <v>7</v>
      </c>
    </row>
    <row r="14" spans="1:18" ht="56.45" customHeight="1" x14ac:dyDescent="0.25">
      <c r="A14" s="311"/>
      <c r="B14" s="315" t="s">
        <v>8</v>
      </c>
      <c r="C14" s="315" t="s">
        <v>9</v>
      </c>
      <c r="D14" s="315" t="s">
        <v>10</v>
      </c>
      <c r="E14" s="321" t="s">
        <v>110</v>
      </c>
      <c r="F14" s="326"/>
      <c r="G14" s="311" t="s">
        <v>12</v>
      </c>
      <c r="H14" s="322" t="s">
        <v>13</v>
      </c>
      <c r="I14" s="311" t="s">
        <v>14</v>
      </c>
      <c r="J14" s="311" t="s">
        <v>15</v>
      </c>
      <c r="K14" s="311" t="s">
        <v>16</v>
      </c>
      <c r="L14" s="311" t="s">
        <v>17</v>
      </c>
      <c r="M14" s="322" t="s">
        <v>18</v>
      </c>
      <c r="N14" s="329" t="s">
        <v>111</v>
      </c>
      <c r="O14" s="330"/>
      <c r="P14" s="174" t="s">
        <v>20</v>
      </c>
      <c r="Q14" s="322"/>
      <c r="R14" s="324"/>
    </row>
    <row r="15" spans="1:18" ht="102.6" customHeight="1" thickBot="1" x14ac:dyDescent="0.3">
      <c r="A15" s="311"/>
      <c r="B15" s="311"/>
      <c r="C15" s="311"/>
      <c r="D15" s="311"/>
      <c r="E15" s="322"/>
      <c r="F15" s="327"/>
      <c r="G15" s="311"/>
      <c r="H15" s="322"/>
      <c r="I15" s="328"/>
      <c r="J15" s="328"/>
      <c r="K15" s="311"/>
      <c r="L15" s="311"/>
      <c r="M15" s="322"/>
      <c r="N15" s="331"/>
      <c r="O15" s="332"/>
      <c r="P15" s="175"/>
      <c r="Q15" s="322"/>
      <c r="R15" s="325"/>
    </row>
    <row r="16" spans="1:18" ht="33.75" customHeight="1" thickBot="1" x14ac:dyDescent="0.3">
      <c r="A16" s="176"/>
      <c r="B16" s="177" t="s">
        <v>21</v>
      </c>
      <c r="C16" s="177" t="s">
        <v>21</v>
      </c>
      <c r="D16" s="177" t="s">
        <v>21</v>
      </c>
      <c r="E16" s="177" t="s">
        <v>21</v>
      </c>
      <c r="F16" s="178" t="s">
        <v>22</v>
      </c>
      <c r="G16" s="177" t="s">
        <v>21</v>
      </c>
      <c r="H16" s="177" t="s">
        <v>21</v>
      </c>
      <c r="I16" s="177" t="s">
        <v>21</v>
      </c>
      <c r="J16" s="177" t="s">
        <v>21</v>
      </c>
      <c r="K16" s="177" t="s">
        <v>21</v>
      </c>
      <c r="L16" s="177" t="s">
        <v>21</v>
      </c>
      <c r="M16" s="177" t="s">
        <v>21</v>
      </c>
      <c r="N16" s="177" t="s">
        <v>21</v>
      </c>
      <c r="O16" s="178" t="s">
        <v>23</v>
      </c>
      <c r="P16" s="177" t="s">
        <v>21</v>
      </c>
      <c r="Q16" s="179" t="s">
        <v>24</v>
      </c>
      <c r="R16" s="180" t="s">
        <v>25</v>
      </c>
    </row>
    <row r="17" spans="1:20" ht="19.7" customHeight="1" thickBot="1" x14ac:dyDescent="0.3">
      <c r="A17" s="181">
        <v>1</v>
      </c>
      <c r="B17" s="181">
        <v>2</v>
      </c>
      <c r="C17" s="181">
        <v>3</v>
      </c>
      <c r="D17" s="181">
        <v>4</v>
      </c>
      <c r="E17" s="181">
        <v>5</v>
      </c>
      <c r="F17" s="181">
        <v>6</v>
      </c>
      <c r="G17" s="181">
        <v>7</v>
      </c>
      <c r="H17" s="181">
        <v>8</v>
      </c>
      <c r="I17" s="181">
        <v>9</v>
      </c>
      <c r="J17" s="181">
        <v>10</v>
      </c>
      <c r="K17" s="181">
        <v>11</v>
      </c>
      <c r="L17" s="181">
        <v>12</v>
      </c>
      <c r="M17" s="181">
        <v>13</v>
      </c>
      <c r="N17" s="181">
        <v>14</v>
      </c>
      <c r="O17" s="181">
        <v>15</v>
      </c>
      <c r="P17" s="181">
        <v>16</v>
      </c>
      <c r="Q17" s="181">
        <v>17</v>
      </c>
      <c r="R17" s="182">
        <v>18</v>
      </c>
    </row>
    <row r="18" spans="1:20" ht="16.5" customHeight="1" x14ac:dyDescent="0.25">
      <c r="A18" s="183" t="s">
        <v>26</v>
      </c>
      <c r="B18" s="184"/>
      <c r="C18" s="184"/>
      <c r="D18" s="184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20" ht="60.6" customHeight="1" x14ac:dyDescent="0.25">
      <c r="A19" s="186" t="s">
        <v>112</v>
      </c>
      <c r="B19" s="187">
        <v>8704</v>
      </c>
      <c r="C19" s="188">
        <v>60</v>
      </c>
      <c r="D19" s="187">
        <v>0</v>
      </c>
      <c r="E19" s="189">
        <f>SUM(B19:D19)</f>
        <v>8764</v>
      </c>
      <c r="F19" s="190">
        <f t="shared" ref="F19:F25" si="0">E19/Q19</f>
        <v>438.2</v>
      </c>
      <c r="G19" s="191">
        <v>0</v>
      </c>
      <c r="H19" s="187">
        <v>21.14</v>
      </c>
      <c r="I19" s="187">
        <v>0</v>
      </c>
      <c r="J19" s="187">
        <v>0</v>
      </c>
      <c r="K19" s="187">
        <v>1.7</v>
      </c>
      <c r="L19" s="187">
        <v>0</v>
      </c>
      <c r="M19" s="187">
        <v>3.05</v>
      </c>
      <c r="N19" s="188">
        <f>SUM(G19:M19)</f>
        <v>25.89</v>
      </c>
      <c r="O19" s="192">
        <f>N19/Q19</f>
        <v>1.2945</v>
      </c>
      <c r="P19" s="187">
        <f t="shared" ref="P19:P24" si="1">E19+N19</f>
        <v>8789.89</v>
      </c>
      <c r="Q19" s="193">
        <v>20</v>
      </c>
      <c r="R19" s="187">
        <f>P19/Q19</f>
        <v>439.49449999999996</v>
      </c>
      <c r="S19" s="194"/>
      <c r="T19" s="194"/>
    </row>
    <row r="20" spans="1:20" ht="39.6" customHeight="1" x14ac:dyDescent="0.25">
      <c r="A20" s="195" t="s">
        <v>113</v>
      </c>
      <c r="B20" s="187">
        <v>3830.96</v>
      </c>
      <c r="C20" s="187">
        <v>155.38</v>
      </c>
      <c r="D20" s="187">
        <v>364.64</v>
      </c>
      <c r="E20" s="189">
        <f t="shared" ref="E20:E24" si="2">SUM(B20:D20)</f>
        <v>4350.9800000000005</v>
      </c>
      <c r="F20" s="190">
        <f t="shared" si="0"/>
        <v>79.108727272727279</v>
      </c>
      <c r="G20" s="191">
        <v>11897.19</v>
      </c>
      <c r="H20" s="187">
        <v>1157.06</v>
      </c>
      <c r="I20" s="187">
        <v>0</v>
      </c>
      <c r="J20" s="187">
        <v>0</v>
      </c>
      <c r="K20" s="187">
        <v>48.45</v>
      </c>
      <c r="L20" s="187">
        <v>0</v>
      </c>
      <c r="M20" s="187">
        <v>368.87</v>
      </c>
      <c r="N20" s="188">
        <f t="shared" ref="N20:N24" si="3">SUM(G20:M20)</f>
        <v>13471.570000000002</v>
      </c>
      <c r="O20" s="192">
        <f t="shared" ref="O20:O24" si="4">N20/Q20</f>
        <v>244.93763636363639</v>
      </c>
      <c r="P20" s="187">
        <f t="shared" si="1"/>
        <v>17822.550000000003</v>
      </c>
      <c r="Q20" s="193">
        <v>55</v>
      </c>
      <c r="R20" s="187">
        <f t="shared" ref="R20:R24" si="5">P20/Q20</f>
        <v>324.04636363636371</v>
      </c>
      <c r="S20" s="194"/>
      <c r="T20" s="194"/>
    </row>
    <row r="21" spans="1:20" ht="55.15" customHeight="1" x14ac:dyDescent="0.25">
      <c r="A21" s="195" t="s">
        <v>114</v>
      </c>
      <c r="B21" s="187">
        <v>864.21</v>
      </c>
      <c r="C21" s="187">
        <v>0</v>
      </c>
      <c r="D21" s="187">
        <v>23.7</v>
      </c>
      <c r="E21" s="189">
        <f t="shared" si="2"/>
        <v>887.91000000000008</v>
      </c>
      <c r="F21" s="190">
        <f t="shared" si="0"/>
        <v>9.9485714285714288E-2</v>
      </c>
      <c r="G21" s="191">
        <v>0</v>
      </c>
      <c r="H21" s="187">
        <v>40.67</v>
      </c>
      <c r="I21" s="187">
        <v>0</v>
      </c>
      <c r="J21" s="187">
        <v>0</v>
      </c>
      <c r="K21" s="187">
        <v>47.55</v>
      </c>
      <c r="L21" s="187">
        <v>0</v>
      </c>
      <c r="M21" s="187">
        <v>2.5</v>
      </c>
      <c r="N21" s="188">
        <f t="shared" si="3"/>
        <v>90.72</v>
      </c>
      <c r="O21" s="190">
        <f t="shared" si="4"/>
        <v>1.016470588235294E-2</v>
      </c>
      <c r="P21" s="187">
        <f>E21+N21</f>
        <v>978.63000000000011</v>
      </c>
      <c r="Q21" s="193">
        <v>8925</v>
      </c>
      <c r="R21" s="187">
        <f t="shared" si="5"/>
        <v>0.10965042016806724</v>
      </c>
      <c r="S21" s="194"/>
      <c r="T21" s="194"/>
    </row>
    <row r="22" spans="1:20" ht="44.45" customHeight="1" x14ac:dyDescent="0.25">
      <c r="A22" s="195" t="s">
        <v>115</v>
      </c>
      <c r="B22" s="187">
        <v>2718.13</v>
      </c>
      <c r="C22" s="187">
        <v>0</v>
      </c>
      <c r="D22" s="187">
        <v>0</v>
      </c>
      <c r="E22" s="189">
        <f t="shared" si="2"/>
        <v>2718.13</v>
      </c>
      <c r="F22" s="190">
        <f t="shared" si="0"/>
        <v>0.31394432894432894</v>
      </c>
      <c r="G22" s="191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7">
        <v>0</v>
      </c>
      <c r="O22" s="190">
        <f t="shared" si="4"/>
        <v>0</v>
      </c>
      <c r="P22" s="187">
        <f t="shared" si="1"/>
        <v>2718.13</v>
      </c>
      <c r="Q22" s="193">
        <v>8658</v>
      </c>
      <c r="R22" s="187">
        <f>P22/Q22</f>
        <v>0.31394432894432894</v>
      </c>
      <c r="S22" s="194"/>
      <c r="T22" s="194"/>
    </row>
    <row r="23" spans="1:20" ht="67.5" customHeight="1" x14ac:dyDescent="0.25">
      <c r="A23" s="195" t="s">
        <v>116</v>
      </c>
      <c r="B23" s="187">
        <v>864.21</v>
      </c>
      <c r="C23" s="187">
        <v>0</v>
      </c>
      <c r="D23" s="187">
        <v>25.83</v>
      </c>
      <c r="E23" s="189">
        <f t="shared" si="2"/>
        <v>890.04000000000008</v>
      </c>
      <c r="F23" s="190">
        <f t="shared" si="0"/>
        <v>5.2049122807017546E-2</v>
      </c>
      <c r="G23" s="191">
        <v>0</v>
      </c>
      <c r="H23" s="187">
        <v>19.87</v>
      </c>
      <c r="I23" s="187">
        <v>0</v>
      </c>
      <c r="J23" s="187">
        <v>0</v>
      </c>
      <c r="K23" s="187">
        <v>27.15</v>
      </c>
      <c r="L23" s="187">
        <v>0</v>
      </c>
      <c r="M23" s="187">
        <v>27.79</v>
      </c>
      <c r="N23" s="188">
        <f t="shared" si="3"/>
        <v>74.81</v>
      </c>
      <c r="O23" s="190">
        <f t="shared" si="4"/>
        <v>4.3748538011695905E-3</v>
      </c>
      <c r="P23" s="187">
        <f t="shared" si="1"/>
        <v>964.85000000000014</v>
      </c>
      <c r="Q23" s="193">
        <v>17100</v>
      </c>
      <c r="R23" s="187">
        <f t="shared" si="5"/>
        <v>5.642397660818714E-2</v>
      </c>
      <c r="S23" s="194"/>
      <c r="T23" s="194"/>
    </row>
    <row r="24" spans="1:20" ht="48.6" customHeight="1" x14ac:dyDescent="0.25">
      <c r="A24" s="196" t="s">
        <v>117</v>
      </c>
      <c r="B24" s="197">
        <v>864.21</v>
      </c>
      <c r="C24" s="198">
        <v>0</v>
      </c>
      <c r="D24" s="187">
        <v>25.83</v>
      </c>
      <c r="E24" s="189">
        <f t="shared" si="2"/>
        <v>890.04000000000008</v>
      </c>
      <c r="F24" s="190">
        <f>E24/Q24</f>
        <v>4.4502000000000006</v>
      </c>
      <c r="G24" s="199">
        <f>'[3]2019'!K13/1000</f>
        <v>0</v>
      </c>
      <c r="H24" s="198">
        <v>19.87</v>
      </c>
      <c r="I24" s="198">
        <v>0</v>
      </c>
      <c r="J24" s="198">
        <v>0</v>
      </c>
      <c r="K24" s="198">
        <v>27.15</v>
      </c>
      <c r="L24" s="187">
        <v>0</v>
      </c>
      <c r="M24" s="198">
        <v>27.79</v>
      </c>
      <c r="N24" s="188">
        <f t="shared" si="3"/>
        <v>74.81</v>
      </c>
      <c r="O24" s="192">
        <f t="shared" si="4"/>
        <v>0.37404999999999999</v>
      </c>
      <c r="P24" s="187">
        <f t="shared" si="1"/>
        <v>964.85000000000014</v>
      </c>
      <c r="Q24" s="200">
        <v>200</v>
      </c>
      <c r="R24" s="187">
        <f t="shared" si="5"/>
        <v>4.824250000000001</v>
      </c>
      <c r="S24" s="194"/>
      <c r="T24" s="194"/>
    </row>
    <row r="25" spans="1:20" ht="28.15" customHeight="1" thickBot="1" x14ac:dyDescent="0.3">
      <c r="A25" s="201" t="s">
        <v>107</v>
      </c>
      <c r="B25" s="202">
        <f>SUM(B19:B24)</f>
        <v>17845.719999999998</v>
      </c>
      <c r="C25" s="202">
        <f>SUM(C19:C24)</f>
        <v>215.38</v>
      </c>
      <c r="D25" s="202">
        <f>SUM(D19:D24)</f>
        <v>439.99999999999994</v>
      </c>
      <c r="E25" s="203">
        <f>SUM(E19:E24)</f>
        <v>18501.100000000002</v>
      </c>
      <c r="F25" s="190">
        <f t="shared" si="0"/>
        <v>0.5292379426740661</v>
      </c>
      <c r="G25" s="202">
        <f t="shared" ref="G25:N25" si="6">SUM(G19:G24)</f>
        <v>11897.19</v>
      </c>
      <c r="H25" s="202">
        <f t="shared" si="6"/>
        <v>1258.6099999999999</v>
      </c>
      <c r="I25" s="203">
        <f t="shared" si="6"/>
        <v>0</v>
      </c>
      <c r="J25" s="203">
        <f t="shared" si="6"/>
        <v>0</v>
      </c>
      <c r="K25" s="202">
        <f t="shared" si="6"/>
        <v>152</v>
      </c>
      <c r="L25" s="203">
        <f t="shared" si="6"/>
        <v>0</v>
      </c>
      <c r="M25" s="202">
        <f t="shared" si="6"/>
        <v>430.00000000000006</v>
      </c>
      <c r="N25" s="203">
        <f t="shared" si="6"/>
        <v>13737.8</v>
      </c>
      <c r="O25" s="204">
        <v>0.4</v>
      </c>
      <c r="P25" s="202">
        <f>SUM(P19:P24)</f>
        <v>32238.9</v>
      </c>
      <c r="Q25" s="203">
        <f>SUM(Q19:Q24)</f>
        <v>34958</v>
      </c>
      <c r="R25" s="203">
        <f>SUM(R19:R24)</f>
        <v>768.84513236208431</v>
      </c>
    </row>
    <row r="26" spans="1:20" ht="18.75" x14ac:dyDescent="0.25">
      <c r="A26" s="205" t="s">
        <v>118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</row>
    <row r="27" spans="1:20" ht="16.149999999999999" customHeight="1" x14ac:dyDescent="0.25">
      <c r="A27" s="205" t="s">
        <v>119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</row>
    <row r="28" spans="1:20" ht="19.149999999999999" customHeight="1" x14ac:dyDescent="0.25">
      <c r="A28" s="205" t="s">
        <v>120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</row>
    <row r="29" spans="1:20" ht="20.45" customHeight="1" x14ac:dyDescent="0.25">
      <c r="A29" s="205" t="s">
        <v>121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</row>
    <row r="30" spans="1:20" ht="17.45" customHeight="1" x14ac:dyDescent="0.25">
      <c r="A30" s="205" t="s">
        <v>122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</row>
  </sheetData>
  <mergeCells count="23">
    <mergeCell ref="L14:L15"/>
    <mergeCell ref="M14:M15"/>
    <mergeCell ref="N14:O15"/>
    <mergeCell ref="N4:R4"/>
    <mergeCell ref="N5:R5"/>
    <mergeCell ref="N6:R6"/>
    <mergeCell ref="N7:R7"/>
    <mergeCell ref="K14:K15"/>
    <mergeCell ref="A8:R8"/>
    <mergeCell ref="A10:R10"/>
    <mergeCell ref="A13:A15"/>
    <mergeCell ref="B13:F13"/>
    <mergeCell ref="G13:O13"/>
    <mergeCell ref="Q13:Q15"/>
    <mergeCell ref="R13:R15"/>
    <mergeCell ref="B14:B15"/>
    <mergeCell ref="C14:C15"/>
    <mergeCell ref="D14:D15"/>
    <mergeCell ref="E14:F15"/>
    <mergeCell ref="G14:G15"/>
    <mergeCell ref="H14:H15"/>
    <mergeCell ref="I14:I15"/>
    <mergeCell ref="J14:J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 СШ 25</vt:lpstr>
      <vt:lpstr>Приложение 2 АЛЕНУШКА</vt:lpstr>
      <vt:lpstr>приложение 3 ДШИ</vt:lpstr>
      <vt:lpstr>Приложение 4 ДЮСШ</vt:lpstr>
      <vt:lpstr>Приложение 5 СЮТ</vt:lpstr>
      <vt:lpstr>Приложение 6 ДК</vt:lpstr>
      <vt:lpstr>'приложение 3 ДШИ'!Область_печати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2023-12-22T06:11:43Z</dcterms:modified>
</cp:coreProperties>
</file>