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00" tabRatio="706"/>
  </bookViews>
  <sheets>
    <sheet name="СШ25" sheetId="9" r:id="rId1"/>
    <sheet name="ДШИ " sheetId="10" r:id="rId2"/>
    <sheet name="Приложение 5 ДЮСШ" sheetId="13" r:id="rId3"/>
    <sheet name="Приложение 6 СЮТ" sheetId="11" r:id="rId4"/>
    <sheet name="ДК" sheetId="12" r:id="rId5"/>
    <sheet name="Приложение  АЛЕНУШКА" sheetId="15" r:id="rId6"/>
  </sheets>
  <externalReferences>
    <externalReference r:id="rId7"/>
    <externalReference r:id="rId8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4" i="15" l="1"/>
  <c r="L24" i="15"/>
  <c r="K24" i="15"/>
  <c r="J24" i="15"/>
  <c r="I24" i="15"/>
  <c r="H24" i="15"/>
  <c r="G24" i="15"/>
  <c r="D24" i="15"/>
  <c r="C24" i="15"/>
  <c r="B24" i="15"/>
  <c r="N23" i="15"/>
  <c r="O23" i="15" s="1"/>
  <c r="E23" i="15"/>
  <c r="N22" i="15"/>
  <c r="O22" i="15" s="1"/>
  <c r="E22" i="15"/>
  <c r="F22" i="15" s="1"/>
  <c r="N21" i="15"/>
  <c r="O21" i="15" s="1"/>
  <c r="E21" i="15"/>
  <c r="P21" i="15" s="1"/>
  <c r="R21" i="15" s="1"/>
  <c r="N20" i="15"/>
  <c r="O20" i="15" s="1"/>
  <c r="E20" i="15"/>
  <c r="F20" i="15" s="1"/>
  <c r="N19" i="15"/>
  <c r="O19" i="15" s="1"/>
  <c r="E19" i="15"/>
  <c r="P23" i="15" l="1"/>
  <c r="R23" i="15" s="1"/>
  <c r="E24" i="15"/>
  <c r="F24" i="15" s="1"/>
  <c r="F21" i="15"/>
  <c r="P19" i="15"/>
  <c r="R19" i="15" s="1"/>
  <c r="F19" i="15"/>
  <c r="F23" i="15"/>
  <c r="P20" i="15"/>
  <c r="R20" i="15" s="1"/>
  <c r="P22" i="15"/>
  <c r="R22" i="15" s="1"/>
  <c r="N24" i="15"/>
  <c r="O24" i="15" s="1"/>
  <c r="Q21" i="13"/>
  <c r="M21" i="13"/>
  <c r="L21" i="13"/>
  <c r="K21" i="13"/>
  <c r="J21" i="13"/>
  <c r="I21" i="13"/>
  <c r="H21" i="13"/>
  <c r="G21" i="13"/>
  <c r="D21" i="13"/>
  <c r="C21" i="13"/>
  <c r="B21" i="13"/>
  <c r="O20" i="13"/>
  <c r="N20" i="13"/>
  <c r="E20" i="13"/>
  <c r="F20" i="13" s="1"/>
  <c r="N19" i="13"/>
  <c r="N21" i="13" s="1"/>
  <c r="F19" i="13"/>
  <c r="E19" i="13"/>
  <c r="P19" i="13" s="1"/>
  <c r="P24" i="15" l="1"/>
  <c r="R24" i="15" s="1"/>
  <c r="P21" i="13"/>
  <c r="R19" i="13"/>
  <c r="P20" i="13"/>
  <c r="R20" i="13" s="1"/>
  <c r="O19" i="13"/>
  <c r="E21" i="13"/>
  <c r="Q27" i="12"/>
  <c r="M27" i="12"/>
  <c r="L27" i="12"/>
  <c r="K27" i="12"/>
  <c r="J27" i="12"/>
  <c r="I27" i="12"/>
  <c r="H27" i="12"/>
  <c r="D27" i="12"/>
  <c r="C27" i="12"/>
  <c r="B27" i="12"/>
  <c r="G26" i="12"/>
  <c r="G27" i="12" s="1"/>
  <c r="F26" i="12"/>
  <c r="E26" i="12"/>
  <c r="O25" i="12"/>
  <c r="N25" i="12"/>
  <c r="E25" i="12"/>
  <c r="F25" i="12" s="1"/>
  <c r="O24" i="12"/>
  <c r="E24" i="12"/>
  <c r="P24" i="12" s="1"/>
  <c r="R24" i="12" s="1"/>
  <c r="N23" i="12"/>
  <c r="O23" i="12" s="1"/>
  <c r="E23" i="12"/>
  <c r="F23" i="12" s="1"/>
  <c r="N22" i="12"/>
  <c r="O22" i="12" s="1"/>
  <c r="E22" i="12"/>
  <c r="E27" i="12" s="1"/>
  <c r="F27" i="12" s="1"/>
  <c r="N21" i="12"/>
  <c r="E21" i="12"/>
  <c r="F21" i="12" s="1"/>
  <c r="P22" i="12" l="1"/>
  <c r="R22" i="12" s="1"/>
  <c r="O21" i="12"/>
  <c r="F22" i="12"/>
  <c r="F24" i="12"/>
  <c r="P25" i="12"/>
  <c r="R25" i="12" s="1"/>
  <c r="P21" i="12"/>
  <c r="P23" i="12"/>
  <c r="R23" i="12" s="1"/>
  <c r="N26" i="12"/>
  <c r="E20" i="11"/>
  <c r="F20" i="11"/>
  <c r="N20" i="11"/>
  <c r="O20" i="11"/>
  <c r="P20" i="11"/>
  <c r="R20" i="11"/>
  <c r="R21" i="11" s="1"/>
  <c r="B21" i="11"/>
  <c r="C21" i="11"/>
  <c r="D21" i="11"/>
  <c r="E21" i="11"/>
  <c r="F21" i="11" s="1"/>
  <c r="G21" i="11"/>
  <c r="H21" i="11"/>
  <c r="I21" i="11"/>
  <c r="J21" i="11"/>
  <c r="K21" i="11"/>
  <c r="L21" i="11"/>
  <c r="M21" i="11"/>
  <c r="N21" i="11"/>
  <c r="P21" i="11"/>
  <c r="Q21" i="11"/>
  <c r="O21" i="11" s="1"/>
  <c r="O26" i="12" l="1"/>
  <c r="P26" i="12"/>
  <c r="R26" i="12" s="1"/>
  <c r="N27" i="12"/>
  <c r="R21" i="12"/>
  <c r="Q26" i="10"/>
  <c r="L26" i="10"/>
  <c r="I26" i="10"/>
  <c r="N25" i="10"/>
  <c r="O25" i="10" s="1"/>
  <c r="E25" i="10"/>
  <c r="P25" i="10" s="1"/>
  <c r="R25" i="10" s="1"/>
  <c r="M24" i="10"/>
  <c r="K24" i="10"/>
  <c r="J24" i="10"/>
  <c r="H24" i="10"/>
  <c r="G24" i="10"/>
  <c r="D24" i="10"/>
  <c r="C24" i="10"/>
  <c r="E24" i="10" s="1"/>
  <c r="B24" i="10"/>
  <c r="M23" i="10"/>
  <c r="K23" i="10"/>
  <c r="J23" i="10"/>
  <c r="H23" i="10"/>
  <c r="G23" i="10"/>
  <c r="D23" i="10"/>
  <c r="C23" i="10"/>
  <c r="E23" i="10" s="1"/>
  <c r="B23" i="10"/>
  <c r="M22" i="10"/>
  <c r="K22" i="10"/>
  <c r="J22" i="10"/>
  <c r="H22" i="10"/>
  <c r="G22" i="10"/>
  <c r="D22" i="10"/>
  <c r="E22" i="10" s="1"/>
  <c r="C22" i="10"/>
  <c r="B22" i="10"/>
  <c r="M21" i="10"/>
  <c r="K21" i="10"/>
  <c r="J21" i="10"/>
  <c r="H21" i="10"/>
  <c r="G21" i="10"/>
  <c r="D21" i="10"/>
  <c r="C21" i="10"/>
  <c r="B21" i="10"/>
  <c r="M20" i="10"/>
  <c r="K20" i="10"/>
  <c r="K26" i="10" s="1"/>
  <c r="J20" i="10"/>
  <c r="H20" i="10"/>
  <c r="G20" i="10"/>
  <c r="E20" i="10"/>
  <c r="D20" i="10"/>
  <c r="C20" i="10"/>
  <c r="B20" i="10"/>
  <c r="M19" i="10"/>
  <c r="M26" i="10" s="1"/>
  <c r="K19" i="10"/>
  <c r="J19" i="10"/>
  <c r="H19" i="10"/>
  <c r="G19" i="10"/>
  <c r="G26" i="10" s="1"/>
  <c r="D19" i="10"/>
  <c r="C19" i="10"/>
  <c r="B19" i="10"/>
  <c r="R27" i="12" l="1"/>
  <c r="P27" i="12"/>
  <c r="P20" i="10"/>
  <c r="R20" i="10" s="1"/>
  <c r="H26" i="10"/>
  <c r="N20" i="10"/>
  <c r="O20" i="10" s="1"/>
  <c r="C26" i="10"/>
  <c r="N22" i="10"/>
  <c r="O22" i="10" s="1"/>
  <c r="N23" i="10"/>
  <c r="O23" i="10" s="1"/>
  <c r="D26" i="10"/>
  <c r="J26" i="10"/>
  <c r="E21" i="10"/>
  <c r="P21" i="10" s="1"/>
  <c r="R21" i="10" s="1"/>
  <c r="N24" i="10"/>
  <c r="O24" i="10" s="1"/>
  <c r="B26" i="10"/>
  <c r="N21" i="10"/>
  <c r="O21" i="10" s="1"/>
  <c r="F25" i="10"/>
  <c r="P23" i="10"/>
  <c r="R23" i="10" s="1"/>
  <c r="F23" i="10"/>
  <c r="F21" i="10"/>
  <c r="N19" i="10"/>
  <c r="F20" i="10"/>
  <c r="F22" i="10"/>
  <c r="F24" i="10"/>
  <c r="E19" i="10"/>
  <c r="P22" i="10" l="1"/>
  <c r="R22" i="10" s="1"/>
  <c r="P24" i="10"/>
  <c r="R24" i="10" s="1"/>
  <c r="P19" i="10"/>
  <c r="F19" i="10"/>
  <c r="E26" i="10"/>
  <c r="F26" i="10" s="1"/>
  <c r="O19" i="10"/>
  <c r="N26" i="10"/>
  <c r="O26" i="10" s="1"/>
  <c r="R19" i="10" l="1"/>
  <c r="P26" i="10"/>
  <c r="R26" i="10" s="1"/>
  <c r="L32" i="9" l="1"/>
  <c r="D32" i="9"/>
  <c r="N31" i="9"/>
  <c r="O31" i="9" s="1"/>
  <c r="E31" i="9"/>
  <c r="F31" i="9" s="1"/>
  <c r="M30" i="9"/>
  <c r="N30" i="9" s="1"/>
  <c r="O30" i="9" s="1"/>
  <c r="C30" i="9"/>
  <c r="E30" i="9" s="1"/>
  <c r="M29" i="9"/>
  <c r="N29" i="9" s="1"/>
  <c r="O29" i="9" s="1"/>
  <c r="C29" i="9"/>
  <c r="E29" i="9" s="1"/>
  <c r="Q28" i="9"/>
  <c r="M28" i="9"/>
  <c r="I28" i="9"/>
  <c r="H28" i="9"/>
  <c r="G28" i="9"/>
  <c r="C28" i="9"/>
  <c r="B28" i="9"/>
  <c r="Q27" i="9"/>
  <c r="M27" i="9"/>
  <c r="I27" i="9"/>
  <c r="H27" i="9"/>
  <c r="G27" i="9"/>
  <c r="C27" i="9"/>
  <c r="B27" i="9"/>
  <c r="Q26" i="9"/>
  <c r="M26" i="9"/>
  <c r="I26" i="9"/>
  <c r="H26" i="9"/>
  <c r="G26" i="9"/>
  <c r="C26" i="9"/>
  <c r="B26" i="9"/>
  <c r="Q25" i="9"/>
  <c r="M25" i="9"/>
  <c r="K25" i="9"/>
  <c r="J25" i="9"/>
  <c r="I25" i="9"/>
  <c r="H25" i="9"/>
  <c r="G25" i="9"/>
  <c r="C25" i="9"/>
  <c r="B25" i="9"/>
  <c r="Q24" i="9"/>
  <c r="M24" i="9"/>
  <c r="K24" i="9"/>
  <c r="J24" i="9"/>
  <c r="I24" i="9"/>
  <c r="H24" i="9"/>
  <c r="G24" i="9"/>
  <c r="C24" i="9"/>
  <c r="B24" i="9"/>
  <c r="Q23" i="9"/>
  <c r="M23" i="9"/>
  <c r="K23" i="9"/>
  <c r="J23" i="9"/>
  <c r="I23" i="9"/>
  <c r="H23" i="9"/>
  <c r="G23" i="9"/>
  <c r="C23" i="9"/>
  <c r="B23" i="9"/>
  <c r="Q22" i="9"/>
  <c r="M22" i="9"/>
  <c r="K22" i="9"/>
  <c r="J22" i="9"/>
  <c r="I22" i="9"/>
  <c r="H22" i="9"/>
  <c r="G22" i="9"/>
  <c r="C22" i="9"/>
  <c r="B22" i="9"/>
  <c r="Q21" i="9"/>
  <c r="M21" i="9"/>
  <c r="K21" i="9"/>
  <c r="J21" i="9"/>
  <c r="I21" i="9"/>
  <c r="H21" i="9"/>
  <c r="G21" i="9"/>
  <c r="C21" i="9"/>
  <c r="B21" i="9"/>
  <c r="E23" i="9" l="1"/>
  <c r="F23" i="9" s="1"/>
  <c r="E28" i="9"/>
  <c r="P28" i="9" s="1"/>
  <c r="R28" i="9" s="1"/>
  <c r="B32" i="9"/>
  <c r="I32" i="9"/>
  <c r="N22" i="9"/>
  <c r="O22" i="9" s="1"/>
  <c r="N26" i="9"/>
  <c r="O26" i="9" s="1"/>
  <c r="E25" i="9"/>
  <c r="F25" i="9" s="1"/>
  <c r="E27" i="9"/>
  <c r="P27" i="9" s="1"/>
  <c r="R27" i="9" s="1"/>
  <c r="Q32" i="9"/>
  <c r="E24" i="9"/>
  <c r="F24" i="9" s="1"/>
  <c r="C32" i="9"/>
  <c r="J32" i="9"/>
  <c r="N21" i="9"/>
  <c r="O21" i="9" s="1"/>
  <c r="K32" i="9"/>
  <c r="E22" i="9"/>
  <c r="N24" i="9"/>
  <c r="O24" i="9" s="1"/>
  <c r="N28" i="9"/>
  <c r="O28" i="9" s="1"/>
  <c r="H32" i="9"/>
  <c r="M32" i="9"/>
  <c r="N23" i="9"/>
  <c r="O23" i="9" s="1"/>
  <c r="N25" i="9"/>
  <c r="O25" i="9" s="1"/>
  <c r="E26" i="9"/>
  <c r="F26" i="9" s="1"/>
  <c r="N27" i="9"/>
  <c r="O27" i="9" s="1"/>
  <c r="P29" i="9"/>
  <c r="R29" i="9" s="1"/>
  <c r="F29" i="9"/>
  <c r="F28" i="9"/>
  <c r="P30" i="9"/>
  <c r="R30" i="9" s="1"/>
  <c r="F30" i="9"/>
  <c r="G32" i="9"/>
  <c r="E21" i="9"/>
  <c r="P31" i="9"/>
  <c r="R31" i="9" s="1"/>
  <c r="F27" i="9" l="1"/>
  <c r="P25" i="9"/>
  <c r="R25" i="9" s="1"/>
  <c r="P26" i="9"/>
  <c r="R26" i="9" s="1"/>
  <c r="P22" i="9"/>
  <c r="R22" i="9" s="1"/>
  <c r="P23" i="9"/>
  <c r="R23" i="9" s="1"/>
  <c r="N32" i="9"/>
  <c r="F22" i="9"/>
  <c r="P24" i="9"/>
  <c r="R24" i="9" s="1"/>
  <c r="E32" i="9"/>
  <c r="F32" i="9" s="1"/>
  <c r="F21" i="9"/>
  <c r="P21" i="9"/>
  <c r="R21" i="9" l="1"/>
  <c r="R32" i="9" s="1"/>
  <c r="P32" i="9"/>
</calcChain>
</file>

<file path=xl/comments1.xml><?xml version="1.0" encoding="utf-8"?>
<comments xmlns="http://schemas.openxmlformats.org/spreadsheetml/2006/main">
  <authors>
    <author>Автор</author>
  </authors>
  <commentList>
    <comment ref="B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211+213 без АУП и прочего персонала на местном бюджете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310+340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211+213 ауп + прочий персонал местный бюджет</t>
        </r>
      </text>
    </comment>
    <comment ref="H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213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225</t>
        </r>
      </text>
    </comment>
    <comment ref="J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225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221
</t>
        </r>
      </text>
    </comment>
    <comment ref="M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226+290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211+213 без АУП и прочего персонала на местном бюджете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310+340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211+213 ауп + прочий персонал местный бюджет</t>
        </r>
      </text>
    </comment>
    <comment ref="H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213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225</t>
        </r>
      </text>
    </comment>
    <comment ref="J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225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221
</t>
        </r>
      </text>
    </comment>
    <comment ref="M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226+290</t>
        </r>
      </text>
    </comment>
  </commentList>
</comments>
</file>

<file path=xl/sharedStrings.xml><?xml version="1.0" encoding="utf-8"?>
<sst xmlns="http://schemas.openxmlformats.org/spreadsheetml/2006/main" count="332" uniqueCount="120">
  <si>
    <t>Наименование муниципальной услуги</t>
  </si>
  <si>
    <t>Итого затраты учреждения на оказание муниципальных услуг</t>
  </si>
  <si>
    <t>Объем муниципальных услуг</t>
  </si>
  <si>
    <r>
      <t>Затраты на оплату труда и начисления на выплаты по оплате труда</t>
    </r>
    <r>
      <rPr>
        <vertAlign val="superscript"/>
        <sz val="10"/>
        <color theme="1"/>
        <rFont val="Times New Roman"/>
        <family val="1"/>
        <charset val="204"/>
      </rPr>
      <t>1</t>
    </r>
  </si>
  <si>
    <t>Затраты на приобретение расходных материалов, материальных запасов</t>
  </si>
  <si>
    <t>Прочие расходы, непосредственно связанные с оказанием услуги</t>
  </si>
  <si>
    <r>
      <t>ВСЕГО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8"/>
        <color theme="1"/>
        <rFont val="Times New Roman"/>
        <family val="1"/>
        <charset val="204"/>
      </rPr>
      <t xml:space="preserve"> </t>
    </r>
  </si>
  <si>
    <r>
      <t>ВСЕГО</t>
    </r>
    <r>
      <rPr>
        <vertAlign val="superscript"/>
        <sz val="10"/>
        <color theme="1"/>
        <rFont val="Times New Roman"/>
        <family val="1"/>
        <charset val="204"/>
      </rPr>
      <t>4</t>
    </r>
  </si>
  <si>
    <t xml:space="preserve">Очередной финансовый год </t>
  </si>
  <si>
    <t>ИТОГО</t>
  </si>
  <si>
    <t>тыс.руб.</t>
  </si>
  <si>
    <r>
      <t>1.</t>
    </r>
    <r>
      <rPr>
        <vertAlign val="superscript"/>
        <sz val="7"/>
        <color theme="1"/>
        <rFont val="Times New Roman"/>
        <family val="1"/>
        <charset val="204"/>
      </rPr>
      <t xml:space="preserve">         </t>
    </r>
    <r>
      <rPr>
        <sz val="10"/>
        <color theme="1"/>
        <rFont val="Times New Roman"/>
        <family val="1"/>
        <charset val="204"/>
      </rPr>
      <t xml:space="preserve">Указываются отдельно затраты на оплату труда (КОСГУ 211) и начисления на выплаты по оплате труда (КОСГУ 213), </t>
    </r>
    <r>
      <rPr>
        <b/>
        <sz val="10"/>
        <color theme="1"/>
        <rFont val="Times New Roman"/>
        <family val="1"/>
        <charset val="204"/>
      </rPr>
      <t>персонала непосредственно участвующего в оказании муниципальной услуги</t>
    </r>
    <r>
      <rPr>
        <sz val="10"/>
        <color theme="1"/>
        <rFont val="Times New Roman"/>
        <family val="1"/>
        <charset val="204"/>
      </rPr>
      <t>.</t>
    </r>
  </si>
  <si>
    <r>
      <t>2.</t>
    </r>
    <r>
      <rPr>
        <vertAlign val="superscript"/>
        <sz val="7"/>
        <color theme="1"/>
        <rFont val="Times New Roman"/>
        <family val="1"/>
        <charset val="204"/>
      </rPr>
      <t xml:space="preserve">         </t>
    </r>
    <r>
      <rPr>
        <sz val="10"/>
        <color theme="1"/>
        <rFont val="Times New Roman"/>
        <family val="1"/>
        <charset val="204"/>
      </rPr>
      <t>Гр. 5 = гр.2+гр.3+гр.4</t>
    </r>
  </si>
  <si>
    <r>
      <t>3.</t>
    </r>
    <r>
      <rPr>
        <vertAlign val="superscript"/>
        <sz val="7"/>
        <color theme="1"/>
        <rFont val="Times New Roman"/>
        <family val="1"/>
        <charset val="204"/>
      </rPr>
      <t xml:space="preserve">         </t>
    </r>
    <r>
      <rPr>
        <sz val="10"/>
        <color theme="1"/>
        <rFont val="Times New Roman"/>
        <family val="1"/>
        <charset val="204"/>
      </rPr>
      <t xml:space="preserve">Указываются отдельно затраты на оплату труда (КОСГУ 211) и начисления на выплаты по оплате труда (КОСГУ 213), </t>
    </r>
    <r>
      <rPr>
        <b/>
        <sz val="10"/>
        <color theme="1"/>
        <rFont val="Times New Roman"/>
        <family val="1"/>
        <charset val="204"/>
      </rPr>
      <t>персоналу  не занятому непосредственно в процессе оказания муниципальных услуг.</t>
    </r>
  </si>
  <si>
    <t>Коммунальные услуги</t>
  </si>
  <si>
    <t>Базовые нормативные затраты, непосредственно связанные с оказанием муниципальной услуги</t>
  </si>
  <si>
    <t>Базовые затраты на общехозяйственные нужды  на оказание муниципальной услуги</t>
  </si>
  <si>
    <r>
      <t>Оплата труда с начисленими на выплаты по оплате труда</t>
    </r>
    <r>
      <rPr>
        <vertAlign val="superscript"/>
        <sz val="10"/>
        <color theme="1"/>
        <rFont val="Times New Roman"/>
        <family val="1"/>
        <charset val="204"/>
      </rPr>
      <t>3</t>
    </r>
  </si>
  <si>
    <t>Содержание объектов недвижимого имущества</t>
  </si>
  <si>
    <t>Содержание объектов особо ценного движимого имущества</t>
  </si>
  <si>
    <t>Приобретение услуг связи</t>
  </si>
  <si>
    <t>Приобретение транспортных услуг</t>
  </si>
  <si>
    <t>Прочие 
общехозяйственные нужды</t>
  </si>
  <si>
    <r>
      <t>4.</t>
    </r>
    <r>
      <rPr>
        <vertAlign val="superscript"/>
        <sz val="7"/>
        <color theme="1"/>
        <rFont val="Times New Roman"/>
        <family val="1"/>
        <charset val="204"/>
      </rPr>
      <t xml:space="preserve">         </t>
    </r>
    <r>
      <rPr>
        <sz val="10"/>
        <color theme="1"/>
        <rFont val="Times New Roman"/>
        <family val="1"/>
        <charset val="204"/>
      </rPr>
      <t>Гр. 14 = гр.7+гр.8+гр.9+гр.10+гр.11+гр.12+гр.13</t>
    </r>
  </si>
  <si>
    <t>(гр.5+гр.14)</t>
  </si>
  <si>
    <r>
      <t>5.</t>
    </r>
    <r>
      <rPr>
        <vertAlign val="superscript"/>
        <sz val="7"/>
        <color theme="1"/>
        <rFont val="Times New Roman"/>
        <family val="1"/>
        <charset val="204"/>
      </rPr>
      <t xml:space="preserve">         </t>
    </r>
    <r>
      <rPr>
        <sz val="10"/>
        <color theme="1"/>
        <rFont val="Times New Roman"/>
        <family val="1"/>
        <charset val="204"/>
      </rPr>
      <t>Гр.16/гр.17.</t>
    </r>
  </si>
  <si>
    <t>единиц
(чел.-час)</t>
  </si>
  <si>
    <t>тыс.руб. 
на
единицу</t>
  </si>
  <si>
    <t xml:space="preserve">
гр.5/гр.17</t>
  </si>
  <si>
    <t xml:space="preserve">
гр.14/гр.17</t>
  </si>
  <si>
    <t>Нормативные затраты на единицу оказания муниципальной услуги 5</t>
  </si>
  <si>
    <t>Реализация дополнительных общеобразовательных предпрофессиональных программ в области искусств
 (801012О.99.0.ББ56АЕ20001 - 
духовые и ударные инструменты)</t>
  </si>
  <si>
    <t>Реализация дополнительных общеобразовательных предпрофессиональных программ в области искусств 
(801012О.99.0.ББ56АВ76000 - 
Струнные инструменты)</t>
  </si>
  <si>
    <t>Реализация дополнительных общеобразовательных предпрофессиональных программ в области искусств 
(801012О.99.0.ББ56АА32001 - 
Фортепиано)</t>
  </si>
  <si>
    <t>Реализация дополнительных общеобразовательных предпрофессиональных программ в области искусств 
(801012О.99.0.ББ56АЕ84001 - 
Народные инструменты)</t>
  </si>
  <si>
    <t>Реализация дополнительных общеразвивающих программ                                       (804200О.99.0.ББ52АЖ48000)</t>
  </si>
  <si>
    <t>Реализация дополнительных общеобразовательных предпрофессиональных программ в области искусств 
( Декоративно - прикладное творчество)</t>
  </si>
  <si>
    <t>Реализация дополнительных общеобразовательных предпрофессиональных программ в области искусств 
(Хореография)</t>
  </si>
  <si>
    <t>РАСЧЕТ БАЗОВЫХ НОРМАТИВНЫХ ЗАТРАТ, СВЯЗАННЫХ С ОКАЗАНИЕМ МУНИЦИПАЛЬНЫХ УСЛУГ на 2023 год</t>
  </si>
  <si>
    <t>РАСЧЕТ  НОРМАТИВНЫХ ЗАТРАТ, СВЯЗАННЫХ С ОКАЗАНИЕМ МУНИЦИПАЛЬНЫХ УСЛУГ 
на 2023 год</t>
  </si>
  <si>
    <t>МБОУ "СШ № 25"</t>
  </si>
  <si>
    <t xml:space="preserve">Нормативные затраты на единицу оказания муниципальной услуги </t>
  </si>
  <si>
    <t>Затраты на оплату труда и начисления на выплаты по оплате труда1</t>
  </si>
  <si>
    <r>
      <t>ВСЕГО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</t>
    </r>
  </si>
  <si>
    <t>Оплата труда и начисления на выплаты по оплате труда3</t>
  </si>
  <si>
    <t>Содержание особо ценного движимого имущества</t>
  </si>
  <si>
    <t>Прочие затраты на общехозяйственные нужды</t>
  </si>
  <si>
    <t>единиц</t>
  </si>
  <si>
    <t>тыс.руб.  
на единицу</t>
  </si>
  <si>
    <t>Услуга: Реализация основных общеобразовательных программ  начального общего образования
(801012О.99.0.БА81АЦ60001)</t>
  </si>
  <si>
    <t>Услуга: Реализация адаптированных основных общеобразовательных программ начального общего образования 
(801012О.99.0.БА82АЛ78001)</t>
  </si>
  <si>
    <t>Услуга: Реализация основных общеобразовательных программ  основного общего образования
(802111О.99.0.БА96АЧ08001)</t>
  </si>
  <si>
    <t>Услуга: Реализация основных общеобразовательных программ  основного общего образования
(802111О.99.0.БА96АА00001 адаптированная программа)</t>
  </si>
  <si>
    <t>Услуга:Реализация основных общеобразовательных программ среднего общего образования (802112О.99.0.ББ11АЧ08001)</t>
  </si>
  <si>
    <t>Услуга:Предоставление питания (560200О.99.0.БА89АА00000)</t>
  </si>
  <si>
    <t>Услуга:Предоставление питания (560200О.99.0.ББ03АА00000)</t>
  </si>
  <si>
    <t>Услуга:Предоставление питания (560200О.99.0.ББ18АА00000)</t>
  </si>
  <si>
    <t>Услуга: Организация отдыха детей и молодежи
(920700О.99.0А322АА01001)</t>
  </si>
  <si>
    <t>Услуга: Организация отдыха детей и молодежи
(920700О.99.0А322АА00001)</t>
  </si>
  <si>
    <t>Работа: 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</si>
  <si>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r>
      <t xml:space="preserve">1.         </t>
    </r>
    <r>
      <rPr>
        <sz val="10"/>
        <color theme="1"/>
        <rFont val="Times New Roman"/>
        <family val="1"/>
        <charset val="204"/>
      </rPr>
      <t xml:space="preserve">Указываются отдельно затраты на оплату труда (КОСГУ 211) и начисления на выплаты по оплате труда (КОСГУ 213), </t>
    </r>
    <r>
      <rPr>
        <b/>
        <sz val="10"/>
        <color theme="1"/>
        <rFont val="Times New Roman"/>
        <family val="1"/>
        <charset val="204"/>
      </rPr>
      <t>персонала непосредственно участвующего в оказании муниципальной услуги</t>
    </r>
    <r>
      <rPr>
        <sz val="10"/>
        <color theme="1"/>
        <rFont val="Times New Roman"/>
        <family val="1"/>
        <charset val="204"/>
      </rPr>
      <t>.</t>
    </r>
  </si>
  <si>
    <r>
      <t xml:space="preserve">2.         </t>
    </r>
    <r>
      <rPr>
        <sz val="10"/>
        <color theme="1"/>
        <rFont val="Times New Roman"/>
        <family val="1"/>
        <charset val="204"/>
      </rPr>
      <t>Гр. 5 = гр.2+гр.3+гр.4</t>
    </r>
  </si>
  <si>
    <r>
      <t xml:space="preserve">3.         </t>
    </r>
    <r>
      <rPr>
        <sz val="10"/>
        <color theme="1"/>
        <rFont val="Times New Roman"/>
        <family val="1"/>
        <charset val="204"/>
      </rPr>
      <t xml:space="preserve">Указываются отдельно затраты на оплату труда (КОСГУ 211) и начисления на выплаты по оплате труда (КОСГУ 213), </t>
    </r>
    <r>
      <rPr>
        <b/>
        <sz val="10"/>
        <color theme="1"/>
        <rFont val="Times New Roman"/>
        <family val="1"/>
        <charset val="204"/>
      </rPr>
      <t>персоналу  не занятому непосредственно в процессе оказания муниципальных услуг.</t>
    </r>
  </si>
  <si>
    <r>
      <t>4.</t>
    </r>
    <r>
      <rPr>
        <vertAlign val="superscript"/>
        <sz val="7"/>
        <color theme="1"/>
        <rFont val="Times New Roman"/>
        <family val="1"/>
        <charset val="204"/>
      </rPr>
      <t xml:space="preserve">                  </t>
    </r>
    <r>
      <rPr>
        <sz val="10"/>
        <color theme="1"/>
        <rFont val="Times New Roman"/>
        <family val="1"/>
        <charset val="204"/>
      </rPr>
      <t>Гр. 14 = гр.7+гр.8+гр.9+гр.10+гр.11+гр.12+гр.13</t>
    </r>
  </si>
  <si>
    <r>
      <t>5.</t>
    </r>
    <r>
      <rPr>
        <vertAlign val="superscript"/>
        <sz val="7"/>
        <color theme="1"/>
        <rFont val="Times New Roman"/>
        <family val="1"/>
        <charset val="204"/>
      </rPr>
      <t xml:space="preserve">                  </t>
    </r>
    <r>
      <rPr>
        <sz val="10"/>
        <color theme="1"/>
        <rFont val="Times New Roman"/>
        <family val="1"/>
        <charset val="204"/>
      </rPr>
      <t>Гр.16/гр.17.</t>
    </r>
  </si>
  <si>
    <t>Муниципальное бюджетное учреждение дополнительного образования "Детская школа искусств"</t>
  </si>
  <si>
    <r>
      <t>5.</t>
    </r>
    <r>
      <rPr>
        <vertAlign val="superscript"/>
        <sz val="7"/>
        <color theme="1"/>
        <rFont val="Liberation Serif"/>
        <family val="1"/>
        <charset val="204"/>
      </rPr>
      <t xml:space="preserve">         </t>
    </r>
    <r>
      <rPr>
        <sz val="10"/>
        <color theme="1"/>
        <rFont val="Liberation Serif"/>
        <family val="1"/>
        <charset val="204"/>
      </rPr>
      <t>Гр.16/гр.17.</t>
    </r>
  </si>
  <si>
    <r>
      <t>4.</t>
    </r>
    <r>
      <rPr>
        <vertAlign val="superscript"/>
        <sz val="7"/>
        <color theme="1"/>
        <rFont val="Liberation Serif"/>
        <family val="1"/>
        <charset val="204"/>
      </rPr>
      <t xml:space="preserve">         </t>
    </r>
    <r>
      <rPr>
        <sz val="10"/>
        <color theme="1"/>
        <rFont val="Liberation Serif"/>
        <family val="1"/>
        <charset val="204"/>
      </rPr>
      <t>Гр. 14 = гр.7+гр.8+гр.9+гр.10+гр.11+гр.12+гр.13</t>
    </r>
  </si>
  <si>
    <r>
      <t>3.</t>
    </r>
    <r>
      <rPr>
        <vertAlign val="superscript"/>
        <sz val="7"/>
        <color theme="1"/>
        <rFont val="Liberation Serif"/>
        <family val="1"/>
        <charset val="204"/>
      </rPr>
      <t xml:space="preserve">         </t>
    </r>
    <r>
      <rPr>
        <sz val="10"/>
        <color theme="1"/>
        <rFont val="Liberation Serif"/>
        <family val="1"/>
        <charset val="204"/>
      </rPr>
      <t xml:space="preserve">Указываются отдельно затраты на оплату труда (КОСГУ 211) и начисления на выплаты по оплате труда (КОСГУ 213), </t>
    </r>
    <r>
      <rPr>
        <b/>
        <sz val="10"/>
        <color theme="1"/>
        <rFont val="Liberation Serif"/>
        <family val="1"/>
        <charset val="204"/>
      </rPr>
      <t>персоналу  не занятому непосредственно в процессе оказания муниципальных услуг.</t>
    </r>
  </si>
  <si>
    <r>
      <t>2.</t>
    </r>
    <r>
      <rPr>
        <vertAlign val="superscript"/>
        <sz val="7"/>
        <color theme="1"/>
        <rFont val="Liberation Serif"/>
        <family val="1"/>
        <charset val="204"/>
      </rPr>
      <t xml:space="preserve">         </t>
    </r>
    <r>
      <rPr>
        <sz val="10"/>
        <color theme="1"/>
        <rFont val="Liberation Serif"/>
        <family val="1"/>
        <charset val="204"/>
      </rPr>
      <t>Гр. 5 = гр.2+гр.3+гр.4</t>
    </r>
  </si>
  <si>
    <r>
      <t>1.</t>
    </r>
    <r>
      <rPr>
        <vertAlign val="superscript"/>
        <sz val="7"/>
        <color theme="1"/>
        <rFont val="Liberation Serif"/>
        <family val="1"/>
        <charset val="204"/>
      </rPr>
      <t xml:space="preserve">         </t>
    </r>
    <r>
      <rPr>
        <sz val="10"/>
        <color theme="1"/>
        <rFont val="Liberation Serif"/>
        <family val="1"/>
        <charset val="204"/>
      </rPr>
      <t xml:space="preserve">Указываются отдельно затраты на оплату труда (КОСГУ 211) и начисления на выплаты по оплате труда (КОСГУ 213), </t>
    </r>
    <r>
      <rPr>
        <b/>
        <sz val="10"/>
        <color theme="1"/>
        <rFont val="Liberation Serif"/>
        <family val="1"/>
        <charset val="204"/>
      </rPr>
      <t>персонала непосредственно участвующего в оказании муниципальной услуги</t>
    </r>
    <r>
      <rPr>
        <sz val="10"/>
        <color theme="1"/>
        <rFont val="Liberation Serif"/>
        <family val="1"/>
        <charset val="204"/>
      </rPr>
      <t>.</t>
    </r>
  </si>
  <si>
    <t>Реализация дополнительных общеразвивающих программ (801012О.99.0.ББ57АЕ04000)</t>
  </si>
  <si>
    <t>%
гр.14/гр.16</t>
  </si>
  <si>
    <t>%
гр.5/гр.16</t>
  </si>
  <si>
    <r>
      <t>ВСЕГО</t>
    </r>
    <r>
      <rPr>
        <vertAlign val="superscript"/>
        <sz val="10"/>
        <color theme="1"/>
        <rFont val="Liberation Serif"/>
        <family val="1"/>
        <charset val="204"/>
      </rPr>
      <t>4</t>
    </r>
  </si>
  <si>
    <r>
      <t>Оплата труда с начисленими на выплаты по оплате труда</t>
    </r>
    <r>
      <rPr>
        <vertAlign val="superscript"/>
        <sz val="10"/>
        <color theme="1"/>
        <rFont val="Liberation Serif"/>
        <family val="1"/>
        <charset val="204"/>
      </rPr>
      <t>3</t>
    </r>
  </si>
  <si>
    <r>
      <t>ВСЕГО</t>
    </r>
    <r>
      <rPr>
        <vertAlign val="superscript"/>
        <sz val="10"/>
        <color theme="1"/>
        <rFont val="Liberation Serif"/>
        <family val="1"/>
        <charset val="204"/>
      </rPr>
      <t>2</t>
    </r>
    <r>
      <rPr>
        <sz val="10"/>
        <color theme="1"/>
        <rFont val="Liberation Serif"/>
        <family val="1"/>
        <charset val="204"/>
      </rPr>
      <t xml:space="preserve"> </t>
    </r>
  </si>
  <si>
    <r>
      <t>Затраты на оплату труда и начисления на выплаты по оплате труда</t>
    </r>
    <r>
      <rPr>
        <vertAlign val="superscript"/>
        <sz val="10"/>
        <color theme="1"/>
        <rFont val="Liberation Serif"/>
        <family val="1"/>
        <charset val="204"/>
      </rPr>
      <t>1</t>
    </r>
  </si>
  <si>
    <t>Нормативные затраты на единицу оказания муниципальной услуги</t>
  </si>
  <si>
    <t>Муниципальным казенным учреждением дополнительного образования Станция юных техников</t>
  </si>
  <si>
    <t>РАСЧЕТ НОРМАТИВНЫХ ЗАТРАТ, СВЯЗАННЫХ С ОКАЗАНИЕМ МУНИЦИПАЛЬНЫХ УСЛУГ</t>
  </si>
  <si>
    <t>городского округа ЗАТО Свободный</t>
  </si>
  <si>
    <t>к постановлению администрации</t>
  </si>
  <si>
    <t>от «___» декабря 2023 года №______</t>
  </si>
  <si>
    <t xml:space="preserve">РАСЧЕТ  НОРМАТИВНЫХ ЗАТРАТ, СВЯЗАННЫХ С ОКАЗАНИЕМ МУНИЦИПАЛЬНЫХ УСЛУГ 
на 2023 год </t>
  </si>
  <si>
    <t>Муниципальное бюджетное учреждение культуры Дворец культуры "Свободный"</t>
  </si>
  <si>
    <r>
      <t>ВСЕГО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</t>
    </r>
  </si>
  <si>
    <r>
      <t>ВСЕГО</t>
    </r>
    <r>
      <rPr>
        <vertAlign val="superscript"/>
        <sz val="12"/>
        <color theme="1"/>
        <rFont val="Times New Roman"/>
        <family val="1"/>
        <charset val="204"/>
      </rPr>
      <t>4</t>
    </r>
  </si>
  <si>
    <r>
      <rPr>
        <b/>
        <sz val="12"/>
        <color theme="1"/>
        <rFont val="Times New Roman"/>
        <family val="1"/>
        <charset val="204"/>
      </rPr>
      <t>Работа 1</t>
    </r>
    <r>
      <rPr>
        <sz val="12"/>
        <color theme="1"/>
        <rFont val="Times New Roman"/>
        <family val="1"/>
        <charset val="204"/>
      </rPr>
      <t>: Организация деятельности клубных формирований и формирований самодеятельного народного творчества.</t>
    </r>
  </si>
  <si>
    <r>
      <rPr>
        <b/>
        <sz val="12"/>
        <color theme="1"/>
        <rFont val="Times New Roman"/>
        <family val="1"/>
        <charset val="204"/>
      </rPr>
      <t>Работа 2</t>
    </r>
    <r>
      <rPr>
        <sz val="12"/>
        <color theme="1"/>
        <rFont val="Times New Roman"/>
        <family val="1"/>
        <charset val="204"/>
      </rPr>
      <t>: Организация показа концертов и концертных программ.</t>
    </r>
  </si>
  <si>
    <r>
      <rPr>
        <b/>
        <sz val="12"/>
        <color theme="1"/>
        <rFont val="Times New Roman"/>
        <family val="1"/>
        <charset val="204"/>
      </rPr>
      <t>Работа 3</t>
    </r>
    <r>
      <rPr>
        <sz val="12"/>
        <color theme="1"/>
        <rFont val="Times New Roman"/>
        <family val="1"/>
        <charset val="204"/>
      </rPr>
      <t>:Библиотечное, библиографическое и информационное обслуживание пользователей библиотеки.</t>
    </r>
  </si>
  <si>
    <r>
      <rPr>
        <b/>
        <sz val="12"/>
        <color theme="1"/>
        <rFont val="Times New Roman"/>
        <family val="1"/>
        <charset val="204"/>
      </rPr>
      <t>Работа 4</t>
    </r>
    <r>
      <rPr>
        <sz val="12"/>
        <color theme="1"/>
        <rFont val="Times New Roman"/>
        <family val="1"/>
        <charset val="204"/>
      </rPr>
      <t>:Организация и проведение культурно-массовых мероприятий.</t>
    </r>
  </si>
  <si>
    <r>
      <rPr>
        <b/>
        <sz val="12"/>
        <color theme="1"/>
        <rFont val="Times New Roman"/>
        <family val="1"/>
        <charset val="204"/>
      </rPr>
      <t>Работа 5</t>
    </r>
    <r>
      <rPr>
        <sz val="12"/>
        <color theme="1"/>
        <rFont val="Times New Roman"/>
        <family val="1"/>
        <charset val="204"/>
      </rPr>
      <t>: Формирование, учет,изучение, обеспечение физического сохранения и безопасности фондов библиотеки, включая оцифровку фондов.</t>
    </r>
  </si>
  <si>
    <r>
      <rPr>
        <b/>
        <sz val="12"/>
        <color theme="1"/>
        <rFont val="Times New Roman"/>
        <family val="1"/>
        <charset val="204"/>
      </rPr>
      <t>Работа 6</t>
    </r>
    <r>
      <rPr>
        <sz val="12"/>
        <color theme="1"/>
        <rFont val="Times New Roman"/>
        <family val="1"/>
        <charset val="204"/>
      </rPr>
      <t>: Библиографическая обработка документови создание каталогов.</t>
    </r>
  </si>
  <si>
    <t>ИТОГО:</t>
  </si>
  <si>
    <r>
      <t xml:space="preserve">1.         </t>
    </r>
    <r>
      <rPr>
        <sz val="12"/>
        <color theme="1"/>
        <rFont val="Times New Roman"/>
        <family val="1"/>
        <charset val="204"/>
      </rPr>
      <t xml:space="preserve">Указываются отдельно затраты на оплату труда (КОСГУ 211) и начисления на выплаты по оплате труда (КОСГУ 213), </t>
    </r>
    <r>
      <rPr>
        <b/>
        <sz val="12"/>
        <color theme="1"/>
        <rFont val="Times New Roman"/>
        <family val="1"/>
        <charset val="204"/>
      </rPr>
      <t>персонала непосредственно участвующего в оказании муниципальной услуги</t>
    </r>
    <r>
      <rPr>
        <sz val="12"/>
        <color theme="1"/>
        <rFont val="Times New Roman"/>
        <family val="1"/>
        <charset val="204"/>
      </rPr>
      <t>.</t>
    </r>
  </si>
  <si>
    <r>
      <t xml:space="preserve">2.         </t>
    </r>
    <r>
      <rPr>
        <sz val="12"/>
        <color theme="1"/>
        <rFont val="Times New Roman"/>
        <family val="1"/>
        <charset val="204"/>
      </rPr>
      <t>Гр. 5 = гр.2+гр.3+гр.4</t>
    </r>
  </si>
  <si>
    <r>
      <t xml:space="preserve">3.         </t>
    </r>
    <r>
      <rPr>
        <sz val="12"/>
        <color theme="1"/>
        <rFont val="Times New Roman"/>
        <family val="1"/>
        <charset val="204"/>
      </rPr>
      <t xml:space="preserve">Указываются отдельно затраты на оплату труда (КОСГУ 211) и начисления на выплаты по оплате труда (КОСГУ 213), </t>
    </r>
    <r>
      <rPr>
        <b/>
        <sz val="12"/>
        <color theme="1"/>
        <rFont val="Times New Roman"/>
        <family val="1"/>
        <charset val="204"/>
      </rPr>
      <t>персоналу  не занятому непосредственно в процессе оказания муниципальных услуг.</t>
    </r>
  </si>
  <si>
    <r>
      <t xml:space="preserve">4.                  </t>
    </r>
    <r>
      <rPr>
        <sz val="12"/>
        <color theme="1"/>
        <rFont val="Times New Roman"/>
        <family val="1"/>
        <charset val="204"/>
      </rPr>
      <t>Гр. 14 = гр.7+гр.8+гр.9+гр.10+гр.11+гр.12+гр.13</t>
    </r>
  </si>
  <si>
    <r>
      <t xml:space="preserve">5.                  </t>
    </r>
    <r>
      <rPr>
        <sz val="12"/>
        <color theme="1"/>
        <rFont val="Times New Roman"/>
        <family val="1"/>
        <charset val="204"/>
      </rPr>
      <t>Гр.16/гр.17.</t>
    </r>
  </si>
  <si>
    <t>Муниципальным бюджетным учреждением дополнительного образования «Детско-юношеская спортивная школа»</t>
  </si>
  <si>
    <t>Реализация дополнительных общеразвивающих программ (804200О.99.0.ББ52АЕ52000)</t>
  </si>
  <si>
    <t>127 811       (чел.-час)</t>
  </si>
  <si>
    <t>Организация отдыха детей и молодежи (920700О.99.0.АЗ22АА00001)</t>
  </si>
  <si>
    <t>50 (чел.)</t>
  </si>
  <si>
    <t>-</t>
  </si>
  <si>
    <t>Приложение</t>
  </si>
  <si>
    <t>УТВЕРЖДЕНО</t>
  </si>
  <si>
    <t>постановлением администрации</t>
  </si>
  <si>
    <t>Муниципальным бюджетным дошкольным образовательным учреждением «Детский сад № 17 «Алёнушка»</t>
  </si>
  <si>
    <r>
      <t>ВСЕГО</t>
    </r>
    <r>
      <rPr>
        <vertAlign val="superscript"/>
        <sz val="10"/>
        <color theme="1"/>
        <rFont val="Liberation Serif"/>
        <family val="1"/>
        <charset val="204"/>
      </rPr>
      <t>2</t>
    </r>
    <r>
      <rPr>
        <sz val="8"/>
        <color theme="1"/>
        <rFont val="Liberation Serif"/>
        <family val="1"/>
        <charset val="204"/>
      </rPr>
      <t xml:space="preserve"> </t>
    </r>
  </si>
  <si>
    <t>%
гр.5/гр.17</t>
  </si>
  <si>
    <t>%
гр.14/гр.17</t>
  </si>
  <si>
    <t xml:space="preserve">единиц
</t>
  </si>
  <si>
    <t>Реализация основных общеобразовательных программ дошкольного образования
(801011О.99.0.БВ24ВТ22000-
от 1 года до 3 лет)</t>
  </si>
  <si>
    <t>Реализация основных общеобразовательных программ дошкольного образования
(801011О.99.0.БВ24ВУ42000-
от 3 лет до 8 лет)</t>
  </si>
  <si>
    <t>Реализация основных общеобразовательных программ дошкольного образования
(801011О.99.0.БВ24АВ42000-
адаптированная программа 
от 3 лет до 8 лет)</t>
  </si>
  <si>
    <t>Присмотр и уход 
(853211О.99.0.БВ19АА50000
 от 1 года до 3 лет)</t>
  </si>
  <si>
    <t>Присмотр и уход 
(50Д40001100300006009101
 от 3 лет до 8 лет)</t>
  </si>
  <si>
    <t xml:space="preserve">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</si>
</sst>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р_._-;\-* #,##0.00_р_._-;_-* &quot;-&quot;??_р_._-;_-@_-"/>
    <numFmt numFmtId="164" formatCode="_-* #,##0.0_р_._-;\-* #,##0.0_р_._-;_-* &quot;-&quot;??_р_._-;_-@_-"/>
    <numFmt numFmtId="165" formatCode="#,##0.0"/>
    <numFmt numFmtId="166" formatCode="0.0"/>
    <numFmt numFmtId="167" formatCode="_-* #,##0.00\ _₽_-;\-* #,##0.00\ _₽_-;_-* &quot;-&quot;??\ _₽_-;_-@_-"/>
  </numFmts>
  <fonts count="39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Liberation Serif"/>
      <family val="1"/>
      <charset val="204"/>
    </font>
    <font>
      <vertAlign val="superscript"/>
      <sz val="10"/>
      <color theme="1"/>
      <name val="Liberation Serif"/>
      <family val="1"/>
      <charset val="204"/>
    </font>
    <font>
      <vertAlign val="superscript"/>
      <sz val="7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b/>
      <sz val="10"/>
      <color theme="1"/>
      <name val="Liberation Serif"/>
      <family val="1"/>
      <charset val="204"/>
    </font>
    <font>
      <b/>
      <sz val="16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  <font>
      <sz val="14"/>
      <color theme="1"/>
      <name val="Liberation Serif"/>
      <family val="1"/>
      <charset val="204"/>
    </font>
    <font>
      <sz val="26"/>
      <color theme="1"/>
      <name val="Liberation Serif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Liberation Serif"/>
      <family val="1"/>
      <charset val="204"/>
    </font>
    <font>
      <sz val="8"/>
      <color theme="1"/>
      <name val="Liberation Serif"/>
      <family val="1"/>
      <charset val="204"/>
    </font>
    <font>
      <sz val="11"/>
      <color rgb="FFFF0000"/>
      <name val="Liberation Serif"/>
      <family val="1"/>
      <charset val="204"/>
    </font>
    <font>
      <vertAlign val="superscript"/>
      <sz val="11"/>
      <color theme="1"/>
      <name val="Liberation Serif"/>
      <family val="1"/>
      <charset val="204"/>
    </font>
    <font>
      <sz val="9"/>
      <color theme="1"/>
      <name val="Liberation Serif"/>
      <family val="1"/>
      <charset val="204"/>
    </font>
    <font>
      <b/>
      <sz val="9"/>
      <color theme="1"/>
      <name val="Liberation Serif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0" fontId="25" fillId="0" borderId="0"/>
  </cellStyleXfs>
  <cellXfs count="349">
    <xf numFmtId="0" fontId="0" fillId="0" borderId="0" xfId="0"/>
    <xf numFmtId="0" fontId="0" fillId="0" borderId="7" xfId="0" applyBorder="1"/>
    <xf numFmtId="0" fontId="3" fillId="0" borderId="15" xfId="0" applyFont="1" applyBorder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left" vertical="center" indent="2"/>
    </xf>
    <xf numFmtId="43" fontId="7" fillId="2" borderId="23" xfId="1" applyFont="1" applyFill="1" applyBorder="1" applyAlignment="1">
      <alignment horizontal="center" vertical="center" wrapText="1"/>
    </xf>
    <xf numFmtId="2" fontId="7" fillId="2" borderId="23" xfId="1" applyNumberFormat="1" applyFont="1" applyFill="1" applyBorder="1" applyAlignment="1">
      <alignment horizontal="center" vertical="center" wrapText="1"/>
    </xf>
    <xf numFmtId="43" fontId="7" fillId="2" borderId="25" xfId="1" applyFont="1" applyFill="1" applyBorder="1" applyAlignment="1">
      <alignment horizontal="center" vertical="center" wrapText="1"/>
    </xf>
    <xf numFmtId="43" fontId="7" fillId="2" borderId="25" xfId="1" applyFont="1" applyFill="1" applyBorder="1" applyAlignment="1">
      <alignment horizontal="center" vertical="center"/>
    </xf>
    <xf numFmtId="2" fontId="7" fillId="2" borderId="25" xfId="1" applyNumberFormat="1" applyFont="1" applyFill="1" applyBorder="1" applyAlignment="1">
      <alignment horizontal="center" vertical="center"/>
    </xf>
    <xf numFmtId="2" fontId="7" fillId="2" borderId="43" xfId="1" applyNumberFormat="1" applyFont="1" applyFill="1" applyBorder="1" applyAlignment="1">
      <alignment horizontal="center" vertical="center" wrapText="1"/>
    </xf>
    <xf numFmtId="43" fontId="7" fillId="2" borderId="43" xfId="1" applyFont="1" applyFill="1" applyBorder="1" applyAlignment="1">
      <alignment horizontal="center" vertical="center" wrapText="1"/>
    </xf>
    <xf numFmtId="43" fontId="7" fillId="2" borderId="43" xfId="1" applyFont="1" applyFill="1" applyBorder="1" applyAlignment="1">
      <alignment horizontal="center" vertical="center"/>
    </xf>
    <xf numFmtId="2" fontId="7" fillId="2" borderId="17" xfId="1" applyNumberFormat="1" applyFont="1" applyFill="1" applyBorder="1" applyAlignment="1">
      <alignment horizontal="center" vertical="center" wrapText="1"/>
    </xf>
    <xf numFmtId="43" fontId="7" fillId="2" borderId="26" xfId="1" applyFont="1" applyFill="1" applyBorder="1" applyAlignment="1">
      <alignment vertical="center"/>
    </xf>
    <xf numFmtId="2" fontId="0" fillId="2" borderId="0" xfId="0" applyNumberFormat="1" applyFill="1"/>
    <xf numFmtId="0" fontId="0" fillId="2" borderId="0" xfId="0" applyFill="1"/>
    <xf numFmtId="0" fontId="5" fillId="2" borderId="0" xfId="0" applyFont="1" applyFill="1"/>
    <xf numFmtId="0" fontId="1" fillId="2" borderId="32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0" fillId="2" borderId="38" xfId="0" applyFill="1" applyBorder="1" applyAlignment="1">
      <alignment vertical="top" wrapText="1"/>
    </xf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vertical="center" wrapText="1"/>
    </xf>
    <xf numFmtId="0" fontId="0" fillId="2" borderId="19" xfId="0" applyFill="1" applyBorder="1"/>
    <xf numFmtId="0" fontId="0" fillId="2" borderId="20" xfId="0" applyFill="1" applyBorder="1"/>
    <xf numFmtId="43" fontId="7" fillId="2" borderId="27" xfId="1" applyFont="1" applyFill="1" applyBorder="1" applyAlignment="1">
      <alignment horizontal="center" vertical="center"/>
    </xf>
    <xf numFmtId="43" fontId="7" fillId="2" borderId="23" xfId="1" applyFont="1" applyFill="1" applyBorder="1" applyAlignment="1">
      <alignment horizontal="center" vertical="center"/>
    </xf>
    <xf numFmtId="43" fontId="7" fillId="2" borderId="24" xfId="1" applyFont="1" applyFill="1" applyBorder="1" applyAlignment="1">
      <alignment vertical="center" wrapText="1"/>
    </xf>
    <xf numFmtId="4" fontId="0" fillId="2" borderId="0" xfId="0" applyNumberFormat="1" applyFill="1"/>
    <xf numFmtId="0" fontId="3" fillId="2" borderId="13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/>
    </xf>
    <xf numFmtId="0" fontId="0" fillId="2" borderId="40" xfId="0" applyFill="1" applyBorder="1"/>
    <xf numFmtId="0" fontId="1" fillId="2" borderId="22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indent="2"/>
    </xf>
    <xf numFmtId="0" fontId="7" fillId="0" borderId="0" xfId="0" applyFont="1"/>
    <xf numFmtId="0" fontId="7" fillId="0" borderId="0" xfId="0" applyFont="1" applyFill="1"/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top" wrapText="1"/>
    </xf>
    <xf numFmtId="0" fontId="7" fillId="0" borderId="7" xfId="0" applyFont="1" applyBorder="1"/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/>
    <xf numFmtId="0" fontId="7" fillId="0" borderId="19" xfId="0" applyFont="1" applyBorder="1"/>
    <xf numFmtId="0" fontId="7" fillId="0" borderId="21" xfId="0" applyFont="1" applyBorder="1" applyAlignment="1">
      <alignment horizontal="left"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vertical="center"/>
    </xf>
    <xf numFmtId="4" fontId="7" fillId="0" borderId="17" xfId="0" applyNumberFormat="1" applyFont="1" applyBorder="1" applyAlignment="1">
      <alignment horizontal="center" vertical="center" wrapText="1"/>
    </xf>
    <xf numFmtId="2" fontId="7" fillId="0" borderId="17" xfId="0" applyNumberFormat="1" applyFont="1" applyBorder="1" applyAlignment="1">
      <alignment vertical="center"/>
    </xf>
    <xf numFmtId="2" fontId="0" fillId="0" borderId="0" xfId="0" applyNumberFormat="1"/>
    <xf numFmtId="0" fontId="7" fillId="0" borderId="52" xfId="0" applyFont="1" applyBorder="1" applyAlignment="1">
      <alignment horizontal="left" vertical="center" wrapText="1"/>
    </xf>
    <xf numFmtId="2" fontId="7" fillId="0" borderId="17" xfId="0" applyNumberFormat="1" applyFont="1" applyBorder="1" applyAlignment="1">
      <alignment horizontal="left" vertical="center" wrapText="1"/>
    </xf>
    <xf numFmtId="4" fontId="0" fillId="0" borderId="17" xfId="0" applyNumberFormat="1" applyFill="1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 vertical="center" wrapText="1"/>
    </xf>
    <xf numFmtId="4" fontId="7" fillId="0" borderId="27" xfId="0" applyNumberFormat="1" applyFont="1" applyFill="1" applyBorder="1" applyAlignment="1">
      <alignment horizontal="center" vertical="center" wrapText="1"/>
    </xf>
    <xf numFmtId="4" fontId="7" fillId="2" borderId="27" xfId="0" applyNumberFormat="1" applyFont="1" applyFill="1" applyBorder="1" applyAlignment="1">
      <alignment horizontal="center" vertical="center" wrapText="1"/>
    </xf>
    <xf numFmtId="2" fontId="7" fillId="2" borderId="27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2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43" fontId="7" fillId="2" borderId="47" xfId="1" applyFont="1" applyFill="1" applyBorder="1" applyAlignment="1">
      <alignment vertical="center"/>
    </xf>
    <xf numFmtId="43" fontId="7" fillId="2" borderId="41" xfId="1" applyFont="1" applyFill="1" applyBorder="1" applyAlignment="1">
      <alignment vertical="center" wrapText="1"/>
    </xf>
    <xf numFmtId="43" fontId="7" fillId="2" borderId="45" xfId="1" applyFont="1" applyFill="1" applyBorder="1" applyAlignment="1">
      <alignment vertical="center" wrapText="1"/>
    </xf>
    <xf numFmtId="43" fontId="7" fillId="2" borderId="42" xfId="1" applyFont="1" applyFill="1" applyBorder="1" applyAlignment="1">
      <alignment vertical="center" wrapText="1"/>
    </xf>
    <xf numFmtId="0" fontId="16" fillId="0" borderId="0" xfId="0" applyFont="1"/>
    <xf numFmtId="2" fontId="5" fillId="0" borderId="0" xfId="0" applyNumberFormat="1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indent="2"/>
    </xf>
    <xf numFmtId="43" fontId="19" fillId="0" borderId="24" xfId="1" applyNumberFormat="1" applyFont="1" applyBorder="1" applyAlignment="1">
      <alignment vertical="center" wrapText="1"/>
    </xf>
    <xf numFmtId="164" fontId="19" fillId="0" borderId="42" xfId="1" applyNumberFormat="1" applyFont="1" applyBorder="1" applyAlignment="1">
      <alignment vertical="center" wrapText="1"/>
    </xf>
    <xf numFmtId="43" fontId="19" fillId="0" borderId="23" xfId="1" applyNumberFormat="1" applyFont="1" applyBorder="1" applyAlignment="1">
      <alignment horizontal="center" vertical="center" wrapText="1"/>
    </xf>
    <xf numFmtId="43" fontId="19" fillId="0" borderId="23" xfId="1" applyNumberFormat="1" applyFont="1" applyBorder="1" applyAlignment="1">
      <alignment horizontal="center" vertical="center"/>
    </xf>
    <xf numFmtId="43" fontId="19" fillId="2" borderId="23" xfId="1" applyNumberFormat="1" applyFont="1" applyFill="1" applyBorder="1" applyAlignment="1">
      <alignment horizontal="center" vertical="center" wrapText="1"/>
    </xf>
    <xf numFmtId="2" fontId="19" fillId="2" borderId="23" xfId="1" applyNumberFormat="1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43" fontId="7" fillId="0" borderId="54" xfId="1" applyFont="1" applyBorder="1" applyAlignment="1">
      <alignment vertical="center"/>
    </xf>
    <xf numFmtId="164" fontId="7" fillId="0" borderId="45" xfId="1" applyNumberFormat="1" applyFont="1" applyBorder="1" applyAlignment="1">
      <alignment vertical="center" wrapText="1"/>
    </xf>
    <xf numFmtId="43" fontId="7" fillId="0" borderId="43" xfId="1" applyFont="1" applyBorder="1" applyAlignment="1">
      <alignment horizontal="center" vertical="center" wrapText="1"/>
    </xf>
    <xf numFmtId="43" fontId="7" fillId="0" borderId="27" xfId="1" applyFont="1" applyBorder="1" applyAlignment="1">
      <alignment horizontal="center" vertical="center"/>
    </xf>
    <xf numFmtId="2" fontId="7" fillId="0" borderId="43" xfId="1" applyNumberFormat="1" applyFont="1" applyBorder="1" applyAlignment="1">
      <alignment horizontal="center" vertical="center" wrapText="1"/>
    </xf>
    <xf numFmtId="43" fontId="7" fillId="0" borderId="43" xfId="1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 wrapText="1"/>
    </xf>
    <xf numFmtId="0" fontId="19" fillId="0" borderId="20" xfId="0" applyFont="1" applyBorder="1"/>
    <xf numFmtId="0" fontId="19" fillId="0" borderId="40" xfId="0" applyFont="1" applyBorder="1"/>
    <xf numFmtId="0" fontId="19" fillId="0" borderId="19" xfId="0" applyFont="1" applyBorder="1"/>
    <xf numFmtId="0" fontId="19" fillId="0" borderId="19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7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1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7" xfId="0" applyFont="1" applyBorder="1"/>
    <xf numFmtId="0" fontId="19" fillId="0" borderId="38" xfId="0" applyFont="1" applyBorder="1" applyAlignment="1">
      <alignment vertical="top" wrapText="1"/>
    </xf>
    <xf numFmtId="0" fontId="19" fillId="0" borderId="36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22" fillId="0" borderId="0" xfId="0" applyFont="1"/>
    <xf numFmtId="0" fontId="22" fillId="0" borderId="0" xfId="0" applyFont="1" applyAlignment="1"/>
    <xf numFmtId="0" fontId="22" fillId="0" borderId="0" xfId="0" applyFont="1" applyAlignment="1">
      <alignment wrapText="1"/>
    </xf>
    <xf numFmtId="0" fontId="19" fillId="0" borderId="0" xfId="0" applyFont="1" applyAlignment="1"/>
    <xf numFmtId="0" fontId="23" fillId="0" borderId="0" xfId="0" applyFont="1" applyAlignment="1">
      <alignment horizontal="left"/>
    </xf>
    <xf numFmtId="0" fontId="24" fillId="0" borderId="0" xfId="0" applyFont="1" applyAlignment="1"/>
    <xf numFmtId="0" fontId="23" fillId="0" borderId="0" xfId="0" applyFont="1" applyAlignment="1">
      <alignment horizontal="left"/>
    </xf>
    <xf numFmtId="0" fontId="5" fillId="0" borderId="0" xfId="2" applyFont="1"/>
    <xf numFmtId="0" fontId="26" fillId="0" borderId="0" xfId="2" applyFont="1"/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4" xfId="2" applyFont="1" applyBorder="1" applyAlignment="1">
      <alignment vertical="top" wrapText="1"/>
    </xf>
    <xf numFmtId="0" fontId="5" fillId="0" borderId="7" xfId="2" applyFont="1" applyBorder="1"/>
    <xf numFmtId="0" fontId="5" fillId="0" borderId="7" xfId="2" applyFont="1" applyBorder="1" applyAlignment="1">
      <alignment horizontal="center"/>
    </xf>
    <xf numFmtId="0" fontId="5" fillId="0" borderId="7" xfId="2" applyFont="1" applyBorder="1" applyAlignment="1">
      <alignment horizontal="center" wrapText="1"/>
    </xf>
    <xf numFmtId="0" fontId="5" fillId="0" borderId="10" xfId="2" applyFont="1" applyBorder="1" applyAlignment="1">
      <alignment horizontal="center"/>
    </xf>
    <xf numFmtId="0" fontId="5" fillId="0" borderId="17" xfId="2" applyFont="1" applyBorder="1" applyAlignment="1">
      <alignment horizontal="center" wrapText="1"/>
    </xf>
    <xf numFmtId="0" fontId="5" fillId="0" borderId="15" xfId="2" applyFont="1" applyBorder="1" applyAlignment="1">
      <alignment horizontal="center"/>
    </xf>
    <xf numFmtId="0" fontId="5" fillId="0" borderId="57" xfId="2" applyFont="1" applyBorder="1" applyAlignment="1">
      <alignment horizontal="center"/>
    </xf>
    <xf numFmtId="0" fontId="29" fillId="0" borderId="18" xfId="2" applyFont="1" applyBorder="1" applyAlignment="1">
      <alignment horizontal="center" vertical="center" wrapText="1"/>
    </xf>
    <xf numFmtId="0" fontId="5" fillId="0" borderId="19" xfId="2" applyFont="1" applyBorder="1" applyAlignment="1">
      <alignment horizontal="center" vertical="center" wrapText="1"/>
    </xf>
    <xf numFmtId="0" fontId="5" fillId="0" borderId="19" xfId="2" applyFont="1" applyBorder="1"/>
    <xf numFmtId="0" fontId="5" fillId="0" borderId="21" xfId="2" applyFont="1" applyBorder="1" applyAlignment="1">
      <alignment horizontal="left" vertical="center" wrapText="1"/>
    </xf>
    <xf numFmtId="4" fontId="5" fillId="0" borderId="17" xfId="2" applyNumberFormat="1" applyFont="1" applyBorder="1" applyAlignment="1">
      <alignment horizontal="center" vertical="center" wrapText="1"/>
    </xf>
    <xf numFmtId="165" fontId="5" fillId="0" borderId="17" xfId="2" applyNumberFormat="1" applyFont="1" applyBorder="1" applyAlignment="1">
      <alignment horizontal="center" vertical="center" wrapText="1"/>
    </xf>
    <xf numFmtId="4" fontId="5" fillId="0" borderId="17" xfId="2" applyNumberFormat="1" applyFont="1" applyBorder="1" applyAlignment="1">
      <alignment horizontal="center" vertical="center"/>
    </xf>
    <xf numFmtId="2" fontId="5" fillId="0" borderId="17" xfId="2" applyNumberFormat="1" applyFont="1" applyBorder="1" applyAlignment="1">
      <alignment vertical="center"/>
    </xf>
    <xf numFmtId="4" fontId="5" fillId="2" borderId="17" xfId="2" applyNumberFormat="1" applyFont="1" applyFill="1" applyBorder="1" applyAlignment="1">
      <alignment horizontal="center" vertical="center" wrapText="1"/>
    </xf>
    <xf numFmtId="166" fontId="5" fillId="0" borderId="17" xfId="2" applyNumberFormat="1" applyFont="1" applyBorder="1" applyAlignment="1">
      <alignment vertical="center"/>
    </xf>
    <xf numFmtId="3" fontId="5" fillId="0" borderId="17" xfId="2" applyNumberFormat="1" applyFont="1" applyBorder="1" applyAlignment="1">
      <alignment horizontal="center" vertical="center" wrapText="1"/>
    </xf>
    <xf numFmtId="2" fontId="26" fillId="0" borderId="0" xfId="2" applyNumberFormat="1" applyFont="1"/>
    <xf numFmtId="0" fontId="5" fillId="0" borderId="52" xfId="2" applyFont="1" applyBorder="1" applyAlignment="1">
      <alignment horizontal="left" vertical="center" wrapText="1"/>
    </xf>
    <xf numFmtId="4" fontId="30" fillId="2" borderId="17" xfId="2" applyNumberFormat="1" applyFont="1" applyFill="1" applyBorder="1" applyAlignment="1">
      <alignment horizontal="center" vertical="center" wrapText="1"/>
    </xf>
    <xf numFmtId="2" fontId="5" fillId="0" borderId="17" xfId="2" applyNumberFormat="1" applyFont="1" applyBorder="1" applyAlignment="1">
      <alignment horizontal="left" vertical="center" wrapText="1"/>
    </xf>
    <xf numFmtId="4" fontId="31" fillId="2" borderId="17" xfId="2" applyNumberFormat="1" applyFont="1" applyFill="1" applyBorder="1" applyAlignment="1">
      <alignment horizontal="center" vertical="center" wrapText="1"/>
    </xf>
    <xf numFmtId="4" fontId="26" fillId="0" borderId="17" xfId="2" applyNumberFormat="1" applyFont="1" applyBorder="1" applyAlignment="1">
      <alignment horizontal="center" vertical="center" wrapText="1"/>
    </xf>
    <xf numFmtId="4" fontId="26" fillId="2" borderId="17" xfId="2" applyNumberFormat="1" applyFont="1" applyFill="1" applyBorder="1" applyAlignment="1">
      <alignment horizontal="center" vertical="center" wrapText="1"/>
    </xf>
    <xf numFmtId="3" fontId="26" fillId="0" borderId="17" xfId="2" applyNumberFormat="1" applyFont="1" applyBorder="1" applyAlignment="1">
      <alignment horizontal="center" vertical="center" wrapText="1"/>
    </xf>
    <xf numFmtId="0" fontId="5" fillId="2" borderId="17" xfId="2" applyFont="1" applyFill="1" applyBorder="1" applyAlignment="1">
      <alignment horizontal="center" vertical="center" wrapText="1"/>
    </xf>
    <xf numFmtId="4" fontId="29" fillId="2" borderId="27" xfId="2" applyNumberFormat="1" applyFont="1" applyFill="1" applyBorder="1" applyAlignment="1">
      <alignment horizontal="center" vertical="center" wrapText="1"/>
    </xf>
    <xf numFmtId="4" fontId="5" fillId="2" borderId="27" xfId="2" applyNumberFormat="1" applyFont="1" applyFill="1" applyBorder="1" applyAlignment="1">
      <alignment horizontal="center" vertical="center" wrapText="1"/>
    </xf>
    <xf numFmtId="2" fontId="5" fillId="2" borderId="27" xfId="2" applyNumberFormat="1" applyFont="1" applyFill="1" applyBorder="1" applyAlignment="1">
      <alignment horizontal="right" vertical="center" wrapText="1"/>
    </xf>
    <xf numFmtId="0" fontId="28" fillId="0" borderId="0" xfId="2" applyFont="1" applyAlignment="1">
      <alignment horizontal="left" vertical="center" indent="2"/>
    </xf>
    <xf numFmtId="2" fontId="5" fillId="2" borderId="0" xfId="2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19" fillId="0" borderId="32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43" fontId="32" fillId="0" borderId="25" xfId="1" applyFont="1" applyBorder="1" applyAlignment="1">
      <alignment horizontal="center" vertical="center" wrapText="1"/>
    </xf>
    <xf numFmtId="2" fontId="32" fillId="0" borderId="25" xfId="1" applyNumberFormat="1" applyFont="1" applyBorder="1" applyAlignment="1">
      <alignment horizontal="center" vertical="center" wrapText="1"/>
    </xf>
    <xf numFmtId="43" fontId="32" fillId="0" borderId="25" xfId="1" applyFont="1" applyBorder="1" applyAlignment="1">
      <alignment horizontal="center" vertical="center"/>
    </xf>
    <xf numFmtId="2" fontId="32" fillId="0" borderId="17" xfId="1" applyNumberFormat="1" applyFont="1" applyBorder="1" applyAlignment="1">
      <alignment horizontal="center" vertical="center" wrapText="1"/>
    </xf>
    <xf numFmtId="164" fontId="32" fillId="0" borderId="41" xfId="1" applyNumberFormat="1" applyFont="1" applyBorder="1" applyAlignment="1">
      <alignment horizontal="center" vertical="center" wrapText="1"/>
    </xf>
    <xf numFmtId="43" fontId="32" fillId="0" borderId="26" xfId="1" applyFont="1" applyBorder="1" applyAlignment="1">
      <alignment horizontal="center" vertical="center"/>
    </xf>
    <xf numFmtId="2" fontId="32" fillId="0" borderId="43" xfId="1" applyNumberFormat="1" applyFont="1" applyBorder="1" applyAlignment="1">
      <alignment horizontal="center" vertical="center" wrapText="1"/>
    </xf>
    <xf numFmtId="43" fontId="32" fillId="0" borderId="43" xfId="1" applyFont="1" applyBorder="1" applyAlignment="1">
      <alignment horizontal="center" vertical="center"/>
    </xf>
    <xf numFmtId="43" fontId="32" fillId="0" borderId="27" xfId="1" applyFont="1" applyBorder="1" applyAlignment="1">
      <alignment horizontal="center" vertical="center"/>
    </xf>
    <xf numFmtId="2" fontId="32" fillId="0" borderId="25" xfId="1" applyNumberFormat="1" applyFont="1" applyBorder="1" applyAlignment="1">
      <alignment horizontal="center" vertical="center"/>
    </xf>
    <xf numFmtId="2" fontId="32" fillId="0" borderId="27" xfId="1" applyNumberFormat="1" applyFont="1" applyBorder="1" applyAlignment="1">
      <alignment horizontal="center" vertical="center"/>
    </xf>
    <xf numFmtId="43" fontId="32" fillId="0" borderId="43" xfId="1" applyFont="1" applyBorder="1" applyAlignment="1">
      <alignment horizontal="left" vertical="center" wrapText="1"/>
    </xf>
    <xf numFmtId="164" fontId="32" fillId="0" borderId="45" xfId="1" applyNumberFormat="1" applyFont="1" applyBorder="1" applyAlignment="1">
      <alignment horizontal="center" vertical="center" wrapText="1"/>
    </xf>
    <xf numFmtId="43" fontId="32" fillId="0" borderId="54" xfId="1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 wrapText="1"/>
    </xf>
    <xf numFmtId="43" fontId="19" fillId="2" borderId="59" xfId="1" applyNumberFormat="1" applyFont="1" applyFill="1" applyBorder="1" applyAlignment="1">
      <alignment horizontal="center" vertical="center" wrapText="1"/>
    </xf>
    <xf numFmtId="43" fontId="19" fillId="0" borderId="24" xfId="1" applyNumberFormat="1" applyFont="1" applyBorder="1" applyAlignment="1">
      <alignment horizontal="center" vertical="center" wrapText="1"/>
    </xf>
    <xf numFmtId="0" fontId="34" fillId="2" borderId="0" xfId="0" applyFont="1" applyFill="1"/>
    <xf numFmtId="167" fontId="16" fillId="0" borderId="0" xfId="0" applyNumberFormat="1" applyFont="1"/>
    <xf numFmtId="167" fontId="34" fillId="2" borderId="0" xfId="0" applyNumberFormat="1" applyFont="1" applyFill="1"/>
    <xf numFmtId="0" fontId="16" fillId="0" borderId="38" xfId="0" applyFont="1" applyBorder="1" applyAlignment="1">
      <alignment vertical="top" wrapText="1"/>
    </xf>
    <xf numFmtId="0" fontId="16" fillId="0" borderId="7" xfId="0" applyFont="1" applyBorder="1"/>
    <xf numFmtId="0" fontId="36" fillId="0" borderId="7" xfId="0" applyFont="1" applyBorder="1" applyAlignment="1">
      <alignment horizontal="center"/>
    </xf>
    <xf numFmtId="0" fontId="36" fillId="0" borderId="7" xfId="0" applyFont="1" applyBorder="1" applyAlignment="1">
      <alignment horizontal="center" wrapText="1"/>
    </xf>
    <xf numFmtId="0" fontId="36" fillId="0" borderId="16" xfId="0" applyFont="1" applyBorder="1" applyAlignment="1">
      <alignment horizontal="center"/>
    </xf>
    <xf numFmtId="0" fontId="36" fillId="0" borderId="13" xfId="0" applyFont="1" applyBorder="1" applyAlignment="1">
      <alignment horizontal="center" wrapText="1"/>
    </xf>
    <xf numFmtId="0" fontId="36" fillId="0" borderId="15" xfId="0" applyFont="1" applyBorder="1" applyAlignment="1">
      <alignment horizontal="center"/>
    </xf>
    <xf numFmtId="0" fontId="36" fillId="0" borderId="8" xfId="0" applyFont="1" applyBorder="1" applyAlignment="1">
      <alignment horizontal="center"/>
    </xf>
    <xf numFmtId="0" fontId="36" fillId="0" borderId="46" xfId="0" applyFont="1" applyBorder="1" applyAlignment="1">
      <alignment horizontal="center"/>
    </xf>
    <xf numFmtId="0" fontId="37" fillId="0" borderId="18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16" fillId="0" borderId="19" xfId="0" applyFont="1" applyBorder="1"/>
    <xf numFmtId="0" fontId="16" fillId="0" borderId="40" xfId="0" applyFont="1" applyBorder="1"/>
    <xf numFmtId="0" fontId="16" fillId="0" borderId="20" xfId="0" applyFont="1" applyBorder="1"/>
    <xf numFmtId="0" fontId="36" fillId="2" borderId="21" xfId="0" applyFont="1" applyFill="1" applyBorder="1" applyAlignment="1">
      <alignment horizontal="center" vertical="center" wrapText="1"/>
    </xf>
    <xf numFmtId="43" fontId="19" fillId="2" borderId="25" xfId="1" applyFont="1" applyFill="1" applyBorder="1" applyAlignment="1">
      <alignment horizontal="center" vertical="center" wrapText="1"/>
    </xf>
    <xf numFmtId="2" fontId="19" fillId="2" borderId="25" xfId="1" applyNumberFormat="1" applyFont="1" applyFill="1" applyBorder="1" applyAlignment="1">
      <alignment horizontal="center" vertical="center" wrapText="1"/>
    </xf>
    <xf numFmtId="43" fontId="19" fillId="2" borderId="25" xfId="1" applyFont="1" applyFill="1" applyBorder="1" applyAlignment="1">
      <alignment horizontal="center" vertical="center"/>
    </xf>
    <xf numFmtId="2" fontId="19" fillId="2" borderId="25" xfId="1" applyNumberFormat="1" applyFont="1" applyFill="1" applyBorder="1" applyAlignment="1">
      <alignment horizontal="center" vertical="center"/>
    </xf>
    <xf numFmtId="164" fontId="19" fillId="2" borderId="47" xfId="1" applyNumberFormat="1" applyFont="1" applyFill="1" applyBorder="1" applyAlignment="1">
      <alignment vertical="center"/>
    </xf>
    <xf numFmtId="43" fontId="19" fillId="2" borderId="26" xfId="1" applyNumberFormat="1" applyFont="1" applyFill="1" applyBorder="1" applyAlignment="1">
      <alignment vertical="center"/>
    </xf>
    <xf numFmtId="2" fontId="16" fillId="2" borderId="0" xfId="0" applyNumberFormat="1" applyFont="1" applyFill="1"/>
    <xf numFmtId="0" fontId="16" fillId="2" borderId="0" xfId="0" applyFont="1" applyFill="1"/>
    <xf numFmtId="0" fontId="36" fillId="2" borderId="17" xfId="0" applyFont="1" applyFill="1" applyBorder="1" applyAlignment="1">
      <alignment horizontal="center" wrapText="1"/>
    </xf>
    <xf numFmtId="2" fontId="19" fillId="2" borderId="17" xfId="1" applyNumberFormat="1" applyFont="1" applyFill="1" applyBorder="1" applyAlignment="1">
      <alignment horizontal="center" vertical="center" wrapText="1"/>
    </xf>
    <xf numFmtId="164" fontId="19" fillId="2" borderId="41" xfId="1" applyNumberFormat="1" applyFont="1" applyFill="1" applyBorder="1" applyAlignment="1">
      <alignment vertical="center" wrapText="1"/>
    </xf>
    <xf numFmtId="0" fontId="38" fillId="2" borderId="55" xfId="0" applyFont="1" applyFill="1" applyBorder="1" applyAlignment="1">
      <alignment horizontal="center" wrapText="1"/>
    </xf>
    <xf numFmtId="2" fontId="19" fillId="2" borderId="43" xfId="1" applyNumberFormat="1" applyFont="1" applyFill="1" applyBorder="1" applyAlignment="1">
      <alignment horizontal="center" vertical="center" wrapText="1"/>
    </xf>
    <xf numFmtId="43" fontId="19" fillId="2" borderId="43" xfId="1" applyFont="1" applyFill="1" applyBorder="1" applyAlignment="1">
      <alignment horizontal="center" vertical="center"/>
    </xf>
    <xf numFmtId="43" fontId="19" fillId="2" borderId="43" xfId="1" applyFont="1" applyFill="1" applyBorder="1" applyAlignment="1">
      <alignment horizontal="center" vertical="center" wrapText="1"/>
    </xf>
    <xf numFmtId="164" fontId="19" fillId="2" borderId="45" xfId="1" applyNumberFormat="1" applyFont="1" applyFill="1" applyBorder="1" applyAlignment="1">
      <alignment vertical="center" wrapText="1"/>
    </xf>
    <xf numFmtId="0" fontId="33" fillId="0" borderId="22" xfId="0" applyFont="1" applyBorder="1" applyAlignment="1">
      <alignment horizontal="center" vertical="center" wrapText="1"/>
    </xf>
    <xf numFmtId="164" fontId="19" fillId="0" borderId="42" xfId="1" applyNumberFormat="1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left" vertical="center" wrapText="1"/>
    </xf>
    <xf numFmtId="0" fontId="24" fillId="0" borderId="0" xfId="0" applyFont="1" applyAlignment="1">
      <alignment horizontal="center"/>
    </xf>
    <xf numFmtId="0" fontId="5" fillId="0" borderId="0" xfId="2" applyFont="1"/>
    <xf numFmtId="0" fontId="5" fillId="0" borderId="5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29" xfId="2" applyFont="1" applyBorder="1" applyAlignment="1">
      <alignment horizontal="center" vertical="center" wrapText="1"/>
    </xf>
    <xf numFmtId="0" fontId="5" fillId="0" borderId="0" xfId="2" applyFont="1" applyAlignment="1">
      <alignment horizontal="center" wrapText="1"/>
    </xf>
    <xf numFmtId="0" fontId="5" fillId="0" borderId="0" xfId="2" applyFont="1" applyAlignment="1">
      <alignment horizontal="center"/>
    </xf>
    <xf numFmtId="0" fontId="27" fillId="0" borderId="0" xfId="2" applyFont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5" fillId="0" borderId="48" xfId="2" applyFont="1" applyBorder="1" applyAlignment="1">
      <alignment horizontal="center" vertical="center" wrapText="1"/>
    </xf>
    <xf numFmtId="0" fontId="5" fillId="0" borderId="49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 wrapText="1"/>
    </xf>
    <xf numFmtId="0" fontId="5" fillId="0" borderId="55" xfId="2" applyFont="1" applyBorder="1" applyAlignment="1">
      <alignment horizontal="center" vertical="center" wrapText="1"/>
    </xf>
    <xf numFmtId="0" fontId="5" fillId="0" borderId="56" xfId="2" applyFont="1" applyBorder="1" applyAlignment="1">
      <alignment horizontal="center" vertical="center" wrapText="1"/>
    </xf>
    <xf numFmtId="0" fontId="5" fillId="0" borderId="25" xfId="2" applyFont="1" applyBorder="1" applyAlignment="1">
      <alignment horizontal="center" vertical="center" wrapText="1"/>
    </xf>
    <xf numFmtId="0" fontId="5" fillId="0" borderId="50" xfId="2" applyFont="1" applyBorder="1" applyAlignment="1">
      <alignment horizontal="center" vertical="center" wrapText="1"/>
    </xf>
    <xf numFmtId="0" fontId="5" fillId="0" borderId="51" xfId="2" applyFont="1" applyBorder="1" applyAlignment="1">
      <alignment horizontal="center" vertical="center" wrapText="1"/>
    </xf>
    <xf numFmtId="0" fontId="5" fillId="0" borderId="13" xfId="2" applyFont="1" applyBorder="1" applyAlignment="1">
      <alignment horizontal="center" vertical="center" wrapText="1"/>
    </xf>
    <xf numFmtId="0" fontId="5" fillId="0" borderId="14" xfId="2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3;&#1086;&#1088;&#1084;&#1072;&#1090;&#1080;&#1074;&#1085;&#1099;&#1077;%20&#1079;&#1072;&#1090;&#1088;&#1072;&#1090;&#1099;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75;&#1083;.&#1073;&#1091;&#1093;\2019\&#1054;&#1090;&#1095;&#1077;&#1090;&#1099;\&#1086;&#1073;&#1088;&#1072;&#1079;&#1086;&#1074;&#1072;&#1085;&#1080;&#1077;\&#1053;&#1086;&#1088;&#1084;&#1072;&#1090;&#1080;&#1074;&#1085;&#1099;&#1077;%20&#1079;&#1072;&#1090;&#1088;&#1072;&#1090;&#1099;%202019_&#1087;&#1086;&#1083;&#1085;&#1099;&#1081;%20&#1088;&#1072;&#1089;&#1095;&#1077;&#1090;_21.11.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(2)"/>
      <sheetName val="2022"/>
      <sheetName val="услуги244 4кфо"/>
      <sheetName val="ученики"/>
    </sheetNames>
    <sheetDataSet>
      <sheetData sheetId="0"/>
      <sheetData sheetId="1">
        <row r="4">
          <cell r="E4">
            <v>475</v>
          </cell>
          <cell r="F4">
            <v>12</v>
          </cell>
          <cell r="G4">
            <v>455</v>
          </cell>
          <cell r="H4">
            <v>12</v>
          </cell>
          <cell r="I4">
            <v>46</v>
          </cell>
          <cell r="K4">
            <v>487</v>
          </cell>
          <cell r="L4">
            <v>467</v>
          </cell>
          <cell r="M4">
            <v>46</v>
          </cell>
        </row>
        <row r="5">
          <cell r="E5">
            <v>28627498.037</v>
          </cell>
          <cell r="F5">
            <v>723221.0030400001</v>
          </cell>
          <cell r="G5">
            <v>27422129.698600002</v>
          </cell>
          <cell r="H5">
            <v>723221.0030400001</v>
          </cell>
          <cell r="I5">
            <v>2772347.1783199999</v>
          </cell>
          <cell r="K5">
            <v>3173939.2229999998</v>
          </cell>
          <cell r="L5">
            <v>3043592.6429999997</v>
          </cell>
          <cell r="M5">
            <v>299797.13399999996</v>
          </cell>
        </row>
        <row r="7">
          <cell r="N7">
            <v>812100</v>
          </cell>
        </row>
        <row r="8">
          <cell r="E8">
            <v>2054147.08075</v>
          </cell>
          <cell r="F8">
            <v>51894.242039999997</v>
          </cell>
          <cell r="G8">
            <v>1967656.67735</v>
          </cell>
          <cell r="H8">
            <v>51894.242039999997</v>
          </cell>
          <cell r="I8">
            <v>198927.92781999998</v>
          </cell>
          <cell r="K8">
            <v>2376643.2769999998</v>
          </cell>
          <cell r="L8">
            <v>2279039.8569999998</v>
          </cell>
          <cell r="M8">
            <v>224487.86599999998</v>
          </cell>
          <cell r="O8">
            <v>0</v>
          </cell>
        </row>
        <row r="9">
          <cell r="E9">
            <v>2151733.337524517</v>
          </cell>
          <cell r="F9">
            <v>54359.579053250956</v>
          </cell>
          <cell r="G9">
            <v>1825150.5320801469</v>
          </cell>
          <cell r="H9">
            <v>48135.838208707173</v>
          </cell>
          <cell r="I9">
            <v>184520.71313337752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406234.98128643644</v>
          </cell>
          <cell r="F10">
            <v>10262.778474604711</v>
          </cell>
          <cell r="G10">
            <v>344578.01034839428</v>
          </cell>
          <cell r="H10">
            <v>9087.7717014961127</v>
          </cell>
          <cell r="I10">
            <v>34836.458189068428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42750</v>
          </cell>
          <cell r="F11">
            <v>1080</v>
          </cell>
          <cell r="G11">
            <v>40950</v>
          </cell>
          <cell r="H11">
            <v>1080</v>
          </cell>
          <cell r="I11">
            <v>4140</v>
          </cell>
        </row>
        <row r="12">
          <cell r="E12">
            <v>83410</v>
          </cell>
          <cell r="F12">
            <v>2107.1999999999998</v>
          </cell>
          <cell r="G12">
            <v>79898</v>
          </cell>
          <cell r="H12">
            <v>2107.1999999999998</v>
          </cell>
          <cell r="I12">
            <v>8077.5999999999995</v>
          </cell>
        </row>
        <row r="13">
          <cell r="E13">
            <v>17666569.982250005</v>
          </cell>
          <cell r="F13">
            <v>446313.3469200001</v>
          </cell>
          <cell r="G13">
            <v>16922714.404050004</v>
          </cell>
          <cell r="H13">
            <v>446313.3469200001</v>
          </cell>
          <cell r="I13">
            <v>1710867.8298600004</v>
          </cell>
          <cell r="K13">
            <v>0</v>
          </cell>
          <cell r="L13">
            <v>0</v>
          </cell>
          <cell r="M13">
            <v>0</v>
          </cell>
        </row>
        <row r="15">
          <cell r="O15">
            <v>630000</v>
          </cell>
        </row>
        <row r="19">
          <cell r="E19">
            <v>1060433.7825844476</v>
          </cell>
          <cell r="F19">
            <v>26789.906086343941</v>
          </cell>
          <cell r="G19">
            <v>989878.05390797241</v>
          </cell>
          <cell r="H19">
            <v>26106.673949221251</v>
          </cell>
          <cell r="I19">
            <v>100075.58347201478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(2)"/>
      <sheetName val="2019"/>
      <sheetName val="225"/>
      <sheetName val="область"/>
      <sheetName val="местный"/>
      <sheetName val="Натуральные нормы образование"/>
      <sheetName val="850"/>
      <sheetName val="112,113"/>
      <sheetName val="услуги"/>
      <sheetName val="310,340"/>
      <sheetName val="310,340 (2)"/>
      <sheetName val="Лист1"/>
      <sheetName val="образование"/>
      <sheetName val="питание"/>
      <sheetName val="оздоровление"/>
    </sheetNames>
    <sheetDataSet>
      <sheetData sheetId="0" refreshError="1"/>
      <sheetData sheetId="1" refreshError="1">
        <row r="5">
          <cell r="E5">
            <v>23094332.088568486</v>
          </cell>
        </row>
        <row r="13">
          <cell r="K13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tabSelected="1" view="pageBreakPreview" topLeftCell="A3" zoomScale="82" zoomScaleNormal="82" zoomScaleSheetLayoutView="82" workbookViewId="0">
      <selection activeCell="O7" sqref="O7:R7"/>
    </sheetView>
  </sheetViews>
  <sheetFormatPr defaultRowHeight="15" x14ac:dyDescent="0.25"/>
  <cols>
    <col min="1" max="1" width="42.28515625" customWidth="1"/>
    <col min="2" max="3" width="11.28515625" style="76" bestFit="1" customWidth="1"/>
    <col min="4" max="4" width="9.140625" style="76"/>
    <col min="5" max="5" width="10.7109375" style="76" customWidth="1"/>
    <col min="6" max="7" width="9.140625" style="76"/>
    <col min="8" max="8" width="10.42578125" customWidth="1"/>
    <col min="9" max="9" width="11.42578125" customWidth="1"/>
    <col min="10" max="10" width="11.28515625" customWidth="1"/>
    <col min="11" max="11" width="11.140625" customWidth="1"/>
    <col min="13" max="13" width="10.140625" bestFit="1" customWidth="1"/>
    <col min="14" max="14" width="11.28515625" customWidth="1"/>
    <col min="16" max="16" width="11.28515625" customWidth="1"/>
    <col min="18" max="18" width="10" bestFit="1" customWidth="1"/>
  </cols>
  <sheetData>
    <row r="1" spans="1:19" hidden="1" x14ac:dyDescent="0.25">
      <c r="A1" s="41"/>
      <c r="B1" s="42"/>
      <c r="C1" s="42"/>
      <c r="D1" s="42"/>
      <c r="E1" s="42"/>
      <c r="F1" s="42"/>
      <c r="G1" s="42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9" hidden="1" x14ac:dyDescent="0.25">
      <c r="A2" s="41"/>
      <c r="B2" s="42"/>
      <c r="C2" s="42"/>
      <c r="D2" s="42"/>
      <c r="E2" s="42"/>
      <c r="F2" s="42"/>
      <c r="G2" s="42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9" x14ac:dyDescent="0.25">
      <c r="A3" s="41"/>
      <c r="B3" s="42"/>
      <c r="C3" s="42"/>
      <c r="D3" s="42"/>
      <c r="E3" s="42"/>
      <c r="F3" s="42"/>
      <c r="G3" s="42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19" x14ac:dyDescent="0.25">
      <c r="A4" s="41"/>
      <c r="B4" s="42"/>
      <c r="C4" s="42"/>
      <c r="D4" s="42"/>
      <c r="E4" s="42"/>
      <c r="F4" s="42"/>
      <c r="G4" s="42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1:19" s="81" customFormat="1" ht="14.25" x14ac:dyDescent="0.2"/>
    <row r="6" spans="1:19" s="81" customFormat="1" ht="17.25" customHeight="1" x14ac:dyDescent="0.25">
      <c r="K6" s="115"/>
      <c r="L6" s="115"/>
      <c r="M6" s="115"/>
      <c r="N6" s="115"/>
      <c r="O6" s="219" t="s">
        <v>106</v>
      </c>
      <c r="P6" s="219"/>
      <c r="Q6" s="219"/>
      <c r="R6" s="219"/>
    </row>
    <row r="7" spans="1:19" s="81" customFormat="1" ht="17.25" customHeight="1" x14ac:dyDescent="0.25">
      <c r="K7" s="115"/>
      <c r="L7" s="115"/>
      <c r="M7" s="115"/>
      <c r="N7" s="115"/>
      <c r="O7" s="232" t="s">
        <v>82</v>
      </c>
      <c r="P7" s="232"/>
      <c r="Q7" s="232"/>
      <c r="R7" s="232"/>
    </row>
    <row r="8" spans="1:19" s="81" customFormat="1" ht="17.25" customHeight="1" x14ac:dyDescent="0.25">
      <c r="K8" s="117"/>
      <c r="L8" s="117"/>
      <c r="M8" s="117"/>
      <c r="N8" s="117"/>
      <c r="O8" s="232" t="s">
        <v>81</v>
      </c>
      <c r="P8" s="232"/>
      <c r="Q8" s="232"/>
      <c r="R8" s="232"/>
    </row>
    <row r="9" spans="1:19" s="81" customFormat="1" ht="17.25" customHeight="1" x14ac:dyDescent="0.25">
      <c r="K9" s="116"/>
      <c r="L9" s="115"/>
      <c r="M9" s="115"/>
      <c r="N9" s="115"/>
      <c r="O9" s="233" t="s">
        <v>83</v>
      </c>
      <c r="P9" s="233"/>
      <c r="Q9" s="233"/>
      <c r="R9" s="233"/>
      <c r="S9" s="233"/>
    </row>
    <row r="10" spans="1:19" ht="48.75" customHeight="1" x14ac:dyDescent="0.25">
      <c r="A10" s="234" t="s">
        <v>39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</row>
    <row r="11" spans="1:19" x14ac:dyDescent="0.25">
      <c r="A11" s="41"/>
      <c r="B11" s="42"/>
      <c r="C11" s="42"/>
      <c r="D11" s="42"/>
      <c r="E11" s="42"/>
      <c r="F11" s="42"/>
      <c r="G11" s="42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</row>
    <row r="12" spans="1:19" ht="45.2" customHeight="1" x14ac:dyDescent="0.25">
      <c r="A12" s="236" t="s">
        <v>40</v>
      </c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</row>
    <row r="13" spans="1:19" ht="13.5" customHeight="1" thickBot="1" x14ac:dyDescent="0.3">
      <c r="A13" s="41"/>
      <c r="B13" s="42"/>
      <c r="C13" s="42"/>
      <c r="D13" s="42"/>
      <c r="E13" s="42"/>
      <c r="F13" s="42"/>
      <c r="G13" s="42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</row>
    <row r="14" spans="1:19" ht="15.75" hidden="1" thickBot="1" x14ac:dyDescent="0.3">
      <c r="A14" s="41"/>
      <c r="B14" s="42"/>
      <c r="C14" s="42"/>
      <c r="D14" s="42"/>
      <c r="E14" s="42"/>
      <c r="F14" s="42"/>
      <c r="G14" s="42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</row>
    <row r="15" spans="1:19" ht="102.75" customHeight="1" thickBot="1" x14ac:dyDescent="0.3">
      <c r="A15" s="237" t="s">
        <v>0</v>
      </c>
      <c r="B15" s="238" t="s">
        <v>15</v>
      </c>
      <c r="C15" s="239"/>
      <c r="D15" s="239"/>
      <c r="E15" s="239"/>
      <c r="F15" s="239"/>
      <c r="G15" s="240" t="s">
        <v>16</v>
      </c>
      <c r="H15" s="241"/>
      <c r="I15" s="241"/>
      <c r="J15" s="241"/>
      <c r="K15" s="241"/>
      <c r="L15" s="241"/>
      <c r="M15" s="241"/>
      <c r="N15" s="241"/>
      <c r="O15" s="242"/>
      <c r="P15" s="43" t="s">
        <v>1</v>
      </c>
      <c r="Q15" s="243" t="s">
        <v>2</v>
      </c>
      <c r="R15" s="243" t="s">
        <v>41</v>
      </c>
    </row>
    <row r="16" spans="1:19" ht="25.5" customHeight="1" x14ac:dyDescent="0.25">
      <c r="A16" s="230"/>
      <c r="B16" s="244" t="s">
        <v>42</v>
      </c>
      <c r="C16" s="244" t="s">
        <v>4</v>
      </c>
      <c r="D16" s="244" t="s">
        <v>5</v>
      </c>
      <c r="E16" s="224" t="s">
        <v>43</v>
      </c>
      <c r="F16" s="225"/>
      <c r="G16" s="228" t="s">
        <v>44</v>
      </c>
      <c r="H16" s="229" t="s">
        <v>14</v>
      </c>
      <c r="I16" s="230" t="s">
        <v>18</v>
      </c>
      <c r="J16" s="230" t="s">
        <v>45</v>
      </c>
      <c r="K16" s="230" t="s">
        <v>20</v>
      </c>
      <c r="L16" s="230" t="s">
        <v>21</v>
      </c>
      <c r="M16" s="229" t="s">
        <v>46</v>
      </c>
      <c r="N16" s="220" t="s">
        <v>7</v>
      </c>
      <c r="O16" s="221"/>
      <c r="P16" s="44" t="s">
        <v>24</v>
      </c>
      <c r="Q16" s="229"/>
      <c r="R16" s="229"/>
    </row>
    <row r="17" spans="1:20" ht="79.5" customHeight="1" thickBot="1" x14ac:dyDescent="0.3">
      <c r="A17" s="230"/>
      <c r="B17" s="228"/>
      <c r="C17" s="228"/>
      <c r="D17" s="228"/>
      <c r="E17" s="226"/>
      <c r="F17" s="227"/>
      <c r="G17" s="228"/>
      <c r="H17" s="229"/>
      <c r="I17" s="231"/>
      <c r="J17" s="231"/>
      <c r="K17" s="230"/>
      <c r="L17" s="230"/>
      <c r="M17" s="229"/>
      <c r="N17" s="222"/>
      <c r="O17" s="223"/>
      <c r="P17" s="45"/>
      <c r="Q17" s="229"/>
      <c r="R17" s="229"/>
    </row>
    <row r="18" spans="1:20" ht="42" customHeight="1" thickBot="1" x14ac:dyDescent="0.3">
      <c r="A18" s="46"/>
      <c r="B18" s="47" t="s">
        <v>10</v>
      </c>
      <c r="C18" s="47" t="s">
        <v>10</v>
      </c>
      <c r="D18" s="47" t="s">
        <v>10</v>
      </c>
      <c r="E18" s="47" t="s">
        <v>10</v>
      </c>
      <c r="F18" s="48" t="s">
        <v>28</v>
      </c>
      <c r="G18" s="47" t="s">
        <v>10</v>
      </c>
      <c r="H18" s="49" t="s">
        <v>10</v>
      </c>
      <c r="I18" s="49" t="s">
        <v>10</v>
      </c>
      <c r="J18" s="49" t="s">
        <v>10</v>
      </c>
      <c r="K18" s="49" t="s">
        <v>10</v>
      </c>
      <c r="L18" s="49" t="s">
        <v>10</v>
      </c>
      <c r="M18" s="49" t="s">
        <v>10</v>
      </c>
      <c r="N18" s="49" t="s">
        <v>10</v>
      </c>
      <c r="O18" s="50" t="s">
        <v>29</v>
      </c>
      <c r="P18" s="49" t="s">
        <v>10</v>
      </c>
      <c r="Q18" s="49" t="s">
        <v>47</v>
      </c>
      <c r="R18" s="51" t="s">
        <v>48</v>
      </c>
    </row>
    <row r="19" spans="1:20" ht="19.7" customHeight="1" thickBot="1" x14ac:dyDescent="0.3">
      <c r="A19" s="52">
        <v>1</v>
      </c>
      <c r="B19" s="53">
        <v>2</v>
      </c>
      <c r="C19" s="53">
        <v>3</v>
      </c>
      <c r="D19" s="53">
        <v>4</v>
      </c>
      <c r="E19" s="53">
        <v>5</v>
      </c>
      <c r="F19" s="53">
        <v>6</v>
      </c>
      <c r="G19" s="53">
        <v>7</v>
      </c>
      <c r="H19" s="52">
        <v>8</v>
      </c>
      <c r="I19" s="52">
        <v>9</v>
      </c>
      <c r="J19" s="52">
        <v>10</v>
      </c>
      <c r="K19" s="52">
        <v>11</v>
      </c>
      <c r="L19" s="52">
        <v>12</v>
      </c>
      <c r="M19" s="52">
        <v>13</v>
      </c>
      <c r="N19" s="52">
        <v>14</v>
      </c>
      <c r="O19" s="52">
        <v>15</v>
      </c>
      <c r="P19" s="52">
        <v>16</v>
      </c>
      <c r="Q19" s="52">
        <v>17</v>
      </c>
      <c r="R19" s="52">
        <v>18</v>
      </c>
    </row>
    <row r="20" spans="1:20" ht="16.5" customHeight="1" x14ac:dyDescent="0.25">
      <c r="A20" s="54" t="s">
        <v>8</v>
      </c>
      <c r="B20" s="55"/>
      <c r="C20" s="55"/>
      <c r="D20" s="55"/>
      <c r="E20" s="56"/>
      <c r="F20" s="56"/>
      <c r="G20" s="56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</row>
    <row r="21" spans="1:20" ht="51" x14ac:dyDescent="0.25">
      <c r="A21" s="58" t="s">
        <v>49</v>
      </c>
      <c r="B21" s="59">
        <f>'[1]2022'!E5/1000</f>
        <v>28627.498037000001</v>
      </c>
      <c r="C21" s="59">
        <f>'[1]2022'!E8/1000</f>
        <v>2054.14708075</v>
      </c>
      <c r="D21" s="59">
        <v>0</v>
      </c>
      <c r="E21" s="60">
        <f>SUM(B21:D21)</f>
        <v>30681.645117750002</v>
      </c>
      <c r="F21" s="61">
        <f t="shared" ref="F21:F32" si="0">E21/Q21</f>
        <v>64.592937090000007</v>
      </c>
      <c r="G21" s="59">
        <f>'[1]2022'!E13/1000</f>
        <v>17666.569982250006</v>
      </c>
      <c r="H21" s="62">
        <f>'[1]2022'!E9/1000</f>
        <v>2151.7333375245171</v>
      </c>
      <c r="I21" s="62">
        <f>'[1]2022'!E10/1000</f>
        <v>406.23498128643644</v>
      </c>
      <c r="J21" s="62">
        <f>'[1]2022'!E11/1000</f>
        <v>42.75</v>
      </c>
      <c r="K21" s="62">
        <f>'[1]2022'!E12/1000</f>
        <v>83.41</v>
      </c>
      <c r="L21" s="62">
        <v>0</v>
      </c>
      <c r="M21" s="62">
        <f>'[1]2022'!E19/1000</f>
        <v>1060.4337825844477</v>
      </c>
      <c r="N21" s="62">
        <f>SUM(G21:M21)</f>
        <v>21411.132083645411</v>
      </c>
      <c r="O21" s="63">
        <f>N21/Q21</f>
        <v>45.076067544516654</v>
      </c>
      <c r="P21" s="62">
        <f t="shared" ref="P21:P31" si="1">E21+N21</f>
        <v>52092.777201395409</v>
      </c>
      <c r="Q21" s="62">
        <f>'[1]2022'!E4</f>
        <v>475</v>
      </c>
      <c r="R21" s="62">
        <f>P21/Q21</f>
        <v>109.66900463451665</v>
      </c>
      <c r="S21" s="64"/>
      <c r="T21" s="64"/>
    </row>
    <row r="22" spans="1:20" ht="51" x14ac:dyDescent="0.25">
      <c r="A22" s="65" t="s">
        <v>50</v>
      </c>
      <c r="B22" s="59">
        <f>'[1]2022'!F5/1000</f>
        <v>723.22100304000014</v>
      </c>
      <c r="C22" s="59">
        <f>'[1]2022'!F8/1000</f>
        <v>51.894242039999995</v>
      </c>
      <c r="D22" s="59">
        <v>0</v>
      </c>
      <c r="E22" s="60">
        <f t="shared" ref="E22:E31" si="2">SUM(B22:D22)</f>
        <v>775.11524508000014</v>
      </c>
      <c r="F22" s="61">
        <f t="shared" si="0"/>
        <v>64.592937090000007</v>
      </c>
      <c r="G22" s="59">
        <f>'[1]2022'!F13/1000</f>
        <v>446.31334692000007</v>
      </c>
      <c r="H22" s="62">
        <f>'[1]2022'!F9/1000</f>
        <v>54.359579053250954</v>
      </c>
      <c r="I22" s="62">
        <f>'[1]2022'!F10/1000</f>
        <v>10.26277847460471</v>
      </c>
      <c r="J22" s="62">
        <f>'[1]2022'!F11/1000</f>
        <v>1.08</v>
      </c>
      <c r="K22" s="62">
        <f>'[1]2022'!F12/1000</f>
        <v>2.1071999999999997</v>
      </c>
      <c r="L22" s="62">
        <v>0</v>
      </c>
      <c r="M22" s="62">
        <f>'[1]2022'!F19/1000</f>
        <v>26.78990608634394</v>
      </c>
      <c r="N22" s="62">
        <f t="shared" ref="N22:N31" si="3">SUM(G22:M22)</f>
        <v>540.91281053419982</v>
      </c>
      <c r="O22" s="63">
        <f t="shared" ref="O22:O31" si="4">N22/Q22</f>
        <v>45.076067544516654</v>
      </c>
      <c r="P22" s="62">
        <f t="shared" si="1"/>
        <v>1316.0280556142</v>
      </c>
      <c r="Q22" s="62">
        <f>'[1]2022'!F4</f>
        <v>12</v>
      </c>
      <c r="R22" s="62">
        <f t="shared" ref="R22:R31" si="5">P22/Q22</f>
        <v>109.66900463451667</v>
      </c>
      <c r="S22" s="64"/>
      <c r="T22" s="64"/>
    </row>
    <row r="23" spans="1:20" ht="51" x14ac:dyDescent="0.25">
      <c r="A23" s="65" t="s">
        <v>51</v>
      </c>
      <c r="B23" s="59">
        <f>'[1]2022'!G5/1000</f>
        <v>27422.129698600002</v>
      </c>
      <c r="C23" s="59">
        <f>'[1]2022'!G8/1000</f>
        <v>1967.6566773500001</v>
      </c>
      <c r="D23" s="59">
        <v>0</v>
      </c>
      <c r="E23" s="60">
        <f t="shared" si="2"/>
        <v>29389.786375950003</v>
      </c>
      <c r="F23" s="61">
        <f t="shared" si="0"/>
        <v>64.592937090000007</v>
      </c>
      <c r="G23" s="59">
        <f>'[1]2022'!G13/1000</f>
        <v>16922.714404050002</v>
      </c>
      <c r="H23" s="62">
        <f>'[1]2022'!G9/1000</f>
        <v>1825.1505320801471</v>
      </c>
      <c r="I23" s="62">
        <f>'[1]2022'!G10/1000</f>
        <v>344.57801034839429</v>
      </c>
      <c r="J23" s="62">
        <f>'[1]2022'!G11/1000</f>
        <v>40.950000000000003</v>
      </c>
      <c r="K23" s="62">
        <f>'[1]2022'!G12/1000</f>
        <v>79.897999999999996</v>
      </c>
      <c r="L23" s="62">
        <v>0</v>
      </c>
      <c r="M23" s="62">
        <f>'[1]2022'!G19/1000</f>
        <v>989.87805390797246</v>
      </c>
      <c r="N23" s="62">
        <f t="shared" si="3"/>
        <v>20203.169000386519</v>
      </c>
      <c r="O23" s="63">
        <f t="shared" si="4"/>
        <v>44.40256923161872</v>
      </c>
      <c r="P23" s="62">
        <f t="shared" si="1"/>
        <v>49592.955376336526</v>
      </c>
      <c r="Q23" s="62">
        <f>'[1]2022'!G4</f>
        <v>455</v>
      </c>
      <c r="R23" s="62">
        <f t="shared" si="5"/>
        <v>108.99550632161873</v>
      </c>
      <c r="S23" s="64"/>
      <c r="T23" s="64"/>
    </row>
    <row r="24" spans="1:20" ht="63.75" x14ac:dyDescent="0.25">
      <c r="A24" s="65" t="s">
        <v>52</v>
      </c>
      <c r="B24" s="59">
        <f>'[1]2022'!H5/1000</f>
        <v>723.22100304000014</v>
      </c>
      <c r="C24" s="59">
        <f>'[1]2022'!H8/1000</f>
        <v>51.894242039999995</v>
      </c>
      <c r="D24" s="59">
        <v>0</v>
      </c>
      <c r="E24" s="60">
        <f t="shared" si="2"/>
        <v>775.11524508000014</v>
      </c>
      <c r="F24" s="61">
        <f t="shared" si="0"/>
        <v>64.592937090000007</v>
      </c>
      <c r="G24" s="59">
        <f>'[1]2022'!H13/1000</f>
        <v>446.31334692000007</v>
      </c>
      <c r="H24" s="62">
        <f>'[1]2022'!H9/1000</f>
        <v>48.13583820870717</v>
      </c>
      <c r="I24" s="62">
        <f>'[1]2022'!H10/1000</f>
        <v>9.0877717014961128</v>
      </c>
      <c r="J24" s="62">
        <f>'[1]2022'!H11/1000</f>
        <v>1.08</v>
      </c>
      <c r="K24" s="62">
        <f>'[1]2022'!H12/1000</f>
        <v>2.1071999999999997</v>
      </c>
      <c r="L24" s="62">
        <v>0</v>
      </c>
      <c r="M24" s="62">
        <f>'[1]2022'!H19/1000</f>
        <v>26.10667394922125</v>
      </c>
      <c r="N24" s="62">
        <f t="shared" si="3"/>
        <v>532.83083077942456</v>
      </c>
      <c r="O24" s="63">
        <f t="shared" si="4"/>
        <v>44.402569231618713</v>
      </c>
      <c r="P24" s="62">
        <f t="shared" si="1"/>
        <v>1307.9460758594246</v>
      </c>
      <c r="Q24" s="62">
        <f>'[1]2022'!H4</f>
        <v>12</v>
      </c>
      <c r="R24" s="62">
        <f t="shared" si="5"/>
        <v>108.99550632161872</v>
      </c>
      <c r="S24" s="64"/>
      <c r="T24" s="64"/>
    </row>
    <row r="25" spans="1:20" ht="38.25" x14ac:dyDescent="0.25">
      <c r="A25" s="65" t="s">
        <v>53</v>
      </c>
      <c r="B25" s="59">
        <f>'[1]2022'!I5/1000</f>
        <v>2772.3471783199998</v>
      </c>
      <c r="C25" s="59">
        <f>'[1]2022'!I8/1000</f>
        <v>198.92792781999998</v>
      </c>
      <c r="D25" s="59">
        <v>0</v>
      </c>
      <c r="E25" s="60">
        <f t="shared" si="2"/>
        <v>2971.2751061399999</v>
      </c>
      <c r="F25" s="61">
        <f t="shared" si="0"/>
        <v>64.592937089999992</v>
      </c>
      <c r="G25" s="59">
        <f>'[1]2022'!I13/1000</f>
        <v>1710.8678298600005</v>
      </c>
      <c r="H25" s="62">
        <f>'[1]2022'!I9/1000</f>
        <v>184.52071313337751</v>
      </c>
      <c r="I25" s="62">
        <f>'[1]2022'!I10/1000</f>
        <v>34.836458189068431</v>
      </c>
      <c r="J25" s="62">
        <f>'[1]2022'!I11/1000</f>
        <v>4.1399999999999997</v>
      </c>
      <c r="K25" s="62">
        <f>'[1]2022'!I12/1000</f>
        <v>8.0776000000000003</v>
      </c>
      <c r="L25" s="62">
        <v>0</v>
      </c>
      <c r="M25" s="62">
        <f>'[1]2022'!I19/1000</f>
        <v>100.07558347201478</v>
      </c>
      <c r="N25" s="62">
        <f t="shared" si="3"/>
        <v>2042.5181846544615</v>
      </c>
      <c r="O25" s="63">
        <f t="shared" si="4"/>
        <v>44.402569231618727</v>
      </c>
      <c r="P25" s="62">
        <f t="shared" si="1"/>
        <v>5013.7932907944614</v>
      </c>
      <c r="Q25" s="62">
        <f>'[1]2022'!I4</f>
        <v>46</v>
      </c>
      <c r="R25" s="62">
        <f t="shared" si="5"/>
        <v>108.99550632161872</v>
      </c>
      <c r="S25" s="64"/>
      <c r="T25" s="64"/>
    </row>
    <row r="26" spans="1:20" ht="25.5" x14ac:dyDescent="0.25">
      <c r="A26" s="66" t="s">
        <v>54</v>
      </c>
      <c r="B26" s="67">
        <f>'[1]2022'!K5/1000</f>
        <v>3173.9392229999999</v>
      </c>
      <c r="C26" s="67">
        <f>'[1]2022'!K8/1000</f>
        <v>2376.6432769999997</v>
      </c>
      <c r="D26" s="59">
        <v>0</v>
      </c>
      <c r="E26" s="60">
        <f t="shared" si="2"/>
        <v>5550.5824999999995</v>
      </c>
      <c r="F26" s="61">
        <f t="shared" si="0"/>
        <v>11.397499999999999</v>
      </c>
      <c r="G26" s="67">
        <f>'[1]2022'!K13/1000</f>
        <v>0</v>
      </c>
      <c r="H26" s="68">
        <f>'[1]2022'!K9/1000</f>
        <v>0</v>
      </c>
      <c r="I26" s="68">
        <f>'[1]2022'!K10/1000</f>
        <v>0</v>
      </c>
      <c r="J26" s="68">
        <v>0</v>
      </c>
      <c r="K26" s="68">
        <v>0</v>
      </c>
      <c r="L26" s="62">
        <v>0</v>
      </c>
      <c r="M26" s="68">
        <f>'[1]2022'!K19/1000</f>
        <v>0</v>
      </c>
      <c r="N26" s="62">
        <f t="shared" si="3"/>
        <v>0</v>
      </c>
      <c r="O26" s="63">
        <f t="shared" si="4"/>
        <v>0</v>
      </c>
      <c r="P26" s="62">
        <f t="shared" si="1"/>
        <v>5550.5824999999995</v>
      </c>
      <c r="Q26" s="68">
        <f>'[1]2022'!K4</f>
        <v>487</v>
      </c>
      <c r="R26" s="62">
        <f t="shared" si="5"/>
        <v>11.397499999999999</v>
      </c>
      <c r="S26" s="64"/>
      <c r="T26" s="64"/>
    </row>
    <row r="27" spans="1:20" ht="25.5" x14ac:dyDescent="0.25">
      <c r="A27" s="66" t="s">
        <v>55</v>
      </c>
      <c r="B27" s="67">
        <f>'[1]2022'!L5/1000</f>
        <v>3043.5926429999995</v>
      </c>
      <c r="C27" s="67">
        <f>'[1]2022'!L8/1000</f>
        <v>2279.0398569999998</v>
      </c>
      <c r="D27" s="59">
        <v>0</v>
      </c>
      <c r="E27" s="60">
        <f t="shared" si="2"/>
        <v>5322.6324999999997</v>
      </c>
      <c r="F27" s="61">
        <f t="shared" si="0"/>
        <v>11.397499999999999</v>
      </c>
      <c r="G27" s="67">
        <f>'[1]2022'!L13/1000</f>
        <v>0</v>
      </c>
      <c r="H27" s="68">
        <f>'[1]2022'!L9/1000</f>
        <v>0</v>
      </c>
      <c r="I27" s="68">
        <f>'[1]2022'!L10/1000</f>
        <v>0</v>
      </c>
      <c r="J27" s="68">
        <v>0</v>
      </c>
      <c r="K27" s="68">
        <v>0</v>
      </c>
      <c r="L27" s="62">
        <v>0</v>
      </c>
      <c r="M27" s="68">
        <f>'[1]2022'!L19/1000</f>
        <v>0</v>
      </c>
      <c r="N27" s="62">
        <f t="shared" si="3"/>
        <v>0</v>
      </c>
      <c r="O27" s="63">
        <f t="shared" si="4"/>
        <v>0</v>
      </c>
      <c r="P27" s="62">
        <f t="shared" si="1"/>
        <v>5322.6324999999997</v>
      </c>
      <c r="Q27" s="68">
        <f>'[1]2022'!L4</f>
        <v>467</v>
      </c>
      <c r="R27" s="62">
        <f t="shared" si="5"/>
        <v>11.397499999999999</v>
      </c>
      <c r="S27" s="64"/>
      <c r="T27" s="64"/>
    </row>
    <row r="28" spans="1:20" ht="25.5" x14ac:dyDescent="0.25">
      <c r="A28" s="66" t="s">
        <v>56</v>
      </c>
      <c r="B28" s="67">
        <f>'[1]2022'!M5/1000</f>
        <v>299.79713399999997</v>
      </c>
      <c r="C28" s="67">
        <f>'[1]2022'!M8/1000</f>
        <v>224.48786599999997</v>
      </c>
      <c r="D28" s="59">
        <v>0</v>
      </c>
      <c r="E28" s="60">
        <f t="shared" si="2"/>
        <v>524.28499999999997</v>
      </c>
      <c r="F28" s="61">
        <f t="shared" si="0"/>
        <v>11.397499999999999</v>
      </c>
      <c r="G28" s="67">
        <f>'[1]2022'!M13/1000</f>
        <v>0</v>
      </c>
      <c r="H28" s="68">
        <f>'[1]2022'!M9/1000</f>
        <v>0</v>
      </c>
      <c r="I28" s="68">
        <f>'[1]2022'!M10/1000</f>
        <v>0</v>
      </c>
      <c r="J28" s="68">
        <v>0</v>
      </c>
      <c r="K28" s="68">
        <v>0</v>
      </c>
      <c r="L28" s="62">
        <v>0</v>
      </c>
      <c r="M28" s="68">
        <f>'[1]2022'!M19/1000</f>
        <v>0</v>
      </c>
      <c r="N28" s="62">
        <f t="shared" si="3"/>
        <v>0</v>
      </c>
      <c r="O28" s="63">
        <f t="shared" si="4"/>
        <v>0</v>
      </c>
      <c r="P28" s="62">
        <f t="shared" si="1"/>
        <v>524.28499999999997</v>
      </c>
      <c r="Q28" s="68">
        <f>'[1]2022'!M4</f>
        <v>46</v>
      </c>
      <c r="R28" s="62">
        <f t="shared" si="5"/>
        <v>11.397499999999999</v>
      </c>
      <c r="S28" s="64"/>
      <c r="T28" s="64"/>
    </row>
    <row r="29" spans="1:20" ht="31.35" customHeight="1" x14ac:dyDescent="0.25">
      <c r="A29" s="66" t="s">
        <v>57</v>
      </c>
      <c r="B29" s="59">
        <v>0</v>
      </c>
      <c r="C29" s="59">
        <f>'[1]2022'!N7/1000</f>
        <v>812.1</v>
      </c>
      <c r="D29" s="59">
        <v>0</v>
      </c>
      <c r="E29" s="60">
        <f t="shared" si="2"/>
        <v>812.1</v>
      </c>
      <c r="F29" s="61">
        <f t="shared" si="0"/>
        <v>3.6093333333333333</v>
      </c>
      <c r="G29" s="67">
        <v>0</v>
      </c>
      <c r="H29" s="62">
        <v>0</v>
      </c>
      <c r="I29" s="62">
        <v>0</v>
      </c>
      <c r="J29" s="68">
        <v>0</v>
      </c>
      <c r="K29" s="68">
        <v>0</v>
      </c>
      <c r="L29" s="62">
        <v>0</v>
      </c>
      <c r="M29" s="62">
        <f>'[1]2022'!N19/1000</f>
        <v>0</v>
      </c>
      <c r="N29" s="62">
        <f>SUM(G29:M29)</f>
        <v>0</v>
      </c>
      <c r="O29" s="63">
        <f t="shared" si="4"/>
        <v>0</v>
      </c>
      <c r="P29" s="62">
        <f>E29+N29</f>
        <v>812.1</v>
      </c>
      <c r="Q29" s="62">
        <v>225</v>
      </c>
      <c r="R29" s="62">
        <f>P29/Q29</f>
        <v>3.6093333333333333</v>
      </c>
      <c r="S29" s="64"/>
      <c r="T29" s="64"/>
    </row>
    <row r="30" spans="1:20" ht="28.15" customHeight="1" x14ac:dyDescent="0.25">
      <c r="A30" s="66" t="s">
        <v>58</v>
      </c>
      <c r="B30" s="59">
        <v>0</v>
      </c>
      <c r="C30" s="59">
        <f>'[1]2022'!O8/1000</f>
        <v>0</v>
      </c>
      <c r="D30" s="59">
        <v>0</v>
      </c>
      <c r="E30" s="60">
        <f t="shared" si="2"/>
        <v>0</v>
      </c>
      <c r="F30" s="61">
        <f t="shared" si="0"/>
        <v>0</v>
      </c>
      <c r="G30" s="67">
        <v>0</v>
      </c>
      <c r="H30" s="62">
        <v>0</v>
      </c>
      <c r="I30" s="62">
        <v>0</v>
      </c>
      <c r="J30" s="68">
        <v>0</v>
      </c>
      <c r="K30" s="68">
        <v>0</v>
      </c>
      <c r="L30" s="62">
        <v>0</v>
      </c>
      <c r="M30" s="62">
        <f>'[1]2022'!O15/1000</f>
        <v>630</v>
      </c>
      <c r="N30" s="62">
        <f t="shared" si="3"/>
        <v>630</v>
      </c>
      <c r="O30" s="63">
        <f t="shared" si="4"/>
        <v>31.5</v>
      </c>
      <c r="P30" s="62">
        <f t="shared" si="1"/>
        <v>630</v>
      </c>
      <c r="Q30" s="62">
        <v>20</v>
      </c>
      <c r="R30" s="62">
        <f t="shared" si="5"/>
        <v>31.5</v>
      </c>
      <c r="S30" s="64"/>
      <c r="T30" s="64"/>
    </row>
    <row r="31" spans="1:20" ht="123.75" hidden="1" customHeight="1" x14ac:dyDescent="0.25">
      <c r="A31" s="66" t="s">
        <v>59</v>
      </c>
      <c r="B31" s="59">
        <v>0</v>
      </c>
      <c r="C31" s="59">
        <v>0</v>
      </c>
      <c r="D31" s="59">
        <v>0</v>
      </c>
      <c r="E31" s="60">
        <f t="shared" si="2"/>
        <v>0</v>
      </c>
      <c r="F31" s="61">
        <f t="shared" si="0"/>
        <v>0</v>
      </c>
      <c r="G31" s="67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f t="shared" si="3"/>
        <v>0</v>
      </c>
      <c r="O31" s="63">
        <f t="shared" si="4"/>
        <v>0</v>
      </c>
      <c r="P31" s="62">
        <f t="shared" si="1"/>
        <v>0</v>
      </c>
      <c r="Q31" s="62">
        <v>300</v>
      </c>
      <c r="R31" s="62">
        <f t="shared" si="5"/>
        <v>0</v>
      </c>
      <c r="S31" s="64"/>
      <c r="T31" s="64"/>
    </row>
    <row r="32" spans="1:20" ht="15.75" thickBot="1" x14ac:dyDescent="0.3">
      <c r="A32" s="69" t="s">
        <v>9</v>
      </c>
      <c r="B32" s="70">
        <f>SUM(B21:B31)</f>
        <v>66785.745920000001</v>
      </c>
      <c r="C32" s="70">
        <f t="shared" ref="C32:D32" si="6">SUM(C21:C31)</f>
        <v>10016.791169999999</v>
      </c>
      <c r="D32" s="70">
        <f t="shared" si="6"/>
        <v>0</v>
      </c>
      <c r="E32" s="70">
        <f>SUM(E21:E31)</f>
        <v>76802.537089999998</v>
      </c>
      <c r="F32" s="61">
        <f t="shared" si="0"/>
        <v>30.177814180746562</v>
      </c>
      <c r="G32" s="70">
        <f>SUM(G21:G31)</f>
        <v>37192.778910000008</v>
      </c>
      <c r="H32" s="71">
        <f>SUM(H21:H31)</f>
        <v>4263.8999999999996</v>
      </c>
      <c r="I32" s="71">
        <f t="shared" ref="I32:M32" si="7">SUM(I21:I31)</f>
        <v>805</v>
      </c>
      <c r="J32" s="71">
        <f t="shared" si="7"/>
        <v>90</v>
      </c>
      <c r="K32" s="71">
        <f t="shared" si="7"/>
        <v>175.6</v>
      </c>
      <c r="L32" s="71">
        <f t="shared" si="7"/>
        <v>0</v>
      </c>
      <c r="M32" s="71">
        <f t="shared" si="7"/>
        <v>2833.2840000000001</v>
      </c>
      <c r="N32" s="71">
        <f>SUM(N21:N31)</f>
        <v>45360.562910000008</v>
      </c>
      <c r="O32" s="72"/>
      <c r="P32" s="71">
        <f>SUM(P21:P31)</f>
        <v>122163.10000000003</v>
      </c>
      <c r="Q32" s="71">
        <f>SUM(Q21:Q31)</f>
        <v>2545</v>
      </c>
      <c r="R32" s="71">
        <f>SUM(R21:R31)</f>
        <v>615.62636156722294</v>
      </c>
    </row>
    <row r="33" spans="1:18" x14ac:dyDescent="0.25">
      <c r="A33" s="73"/>
      <c r="B33" s="74"/>
      <c r="C33" s="74"/>
      <c r="D33" s="74"/>
      <c r="E33" s="74"/>
      <c r="F33" s="74"/>
      <c r="G33" s="74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</row>
    <row r="34" spans="1:18" ht="15.75" x14ac:dyDescent="0.25">
      <c r="A34" s="4" t="s">
        <v>60</v>
      </c>
      <c r="B34" s="42"/>
      <c r="C34" s="42"/>
      <c r="D34" s="42"/>
      <c r="E34" s="42"/>
      <c r="F34" s="42"/>
      <c r="G34" s="42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</row>
    <row r="35" spans="1:18" ht="15.75" x14ac:dyDescent="0.25">
      <c r="A35" s="4" t="s">
        <v>61</v>
      </c>
      <c r="B35" s="42"/>
      <c r="C35" s="42"/>
      <c r="D35" s="42"/>
      <c r="E35" s="42"/>
      <c r="F35" s="42"/>
      <c r="G35" s="42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</row>
    <row r="36" spans="1:18" ht="15.75" x14ac:dyDescent="0.25">
      <c r="A36" s="4" t="s">
        <v>62</v>
      </c>
      <c r="B36" s="42"/>
      <c r="C36" s="42"/>
      <c r="D36" s="42"/>
      <c r="E36" s="42"/>
      <c r="F36" s="42"/>
      <c r="G36" s="42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5.75" x14ac:dyDescent="0.25">
      <c r="A37" s="4" t="s">
        <v>63</v>
      </c>
      <c r="B37" s="42"/>
      <c r="C37" s="42"/>
      <c r="D37" s="42"/>
      <c r="E37" s="42"/>
      <c r="F37" s="42"/>
      <c r="G37" s="42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8" spans="1:18" ht="15.75" x14ac:dyDescent="0.25">
      <c r="A38" s="4" t="s">
        <v>64</v>
      </c>
      <c r="B38" s="42"/>
      <c r="C38" s="42"/>
      <c r="D38" s="42"/>
      <c r="E38" s="42"/>
      <c r="F38" s="42"/>
      <c r="G38" s="42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</row>
  </sheetData>
  <mergeCells count="22">
    <mergeCell ref="A15:A17"/>
    <mergeCell ref="B15:F15"/>
    <mergeCell ref="G15:O15"/>
    <mergeCell ref="Q15:Q17"/>
    <mergeCell ref="R15:R17"/>
    <mergeCell ref="B16:B17"/>
    <mergeCell ref="C16:C17"/>
    <mergeCell ref="D16:D17"/>
    <mergeCell ref="L16:L17"/>
    <mergeCell ref="M16:M17"/>
    <mergeCell ref="O7:R7"/>
    <mergeCell ref="O8:R8"/>
    <mergeCell ref="O9:S9"/>
    <mergeCell ref="A10:R10"/>
    <mergeCell ref="A12:R12"/>
    <mergeCell ref="N16:O17"/>
    <mergeCell ref="E16:F17"/>
    <mergeCell ref="G16:G17"/>
    <mergeCell ref="H16:H17"/>
    <mergeCell ref="I16:I17"/>
    <mergeCell ref="J16:J17"/>
    <mergeCell ref="K16:K17"/>
  </mergeCells>
  <pageMargins left="0.70866141732283472" right="0.70866141732283472" top="0" bottom="0" header="0.31496062992125984" footer="0.31496062992125984"/>
  <pageSetup paperSize="9" scale="57" orientation="landscape" r:id="rId1"/>
  <headerFooter>
    <oddHeader>&amp;C3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2"/>
  <sheetViews>
    <sheetView zoomScale="90" zoomScaleNormal="90" workbookViewId="0">
      <selection activeCell="O3" sqref="O3:S6"/>
    </sheetView>
  </sheetViews>
  <sheetFormatPr defaultRowHeight="15" x14ac:dyDescent="0.25"/>
  <cols>
    <col min="1" max="1" width="35.28515625" customWidth="1"/>
    <col min="2" max="2" width="11.5703125" style="16" customWidth="1"/>
    <col min="3" max="4" width="10.140625" style="16" bestFit="1" customWidth="1"/>
    <col min="5" max="5" width="12.7109375" style="16" customWidth="1"/>
    <col min="6" max="6" width="9.28515625" style="16" bestFit="1" customWidth="1"/>
    <col min="7" max="7" width="11" style="16" customWidth="1"/>
    <col min="8" max="12" width="9.28515625" style="16" bestFit="1" customWidth="1"/>
    <col min="13" max="13" width="11.5703125" style="16" customWidth="1"/>
    <col min="14" max="14" width="12.140625" style="16" customWidth="1"/>
    <col min="15" max="15" width="9.28515625" style="16" bestFit="1" customWidth="1"/>
    <col min="16" max="16" width="11.28515625" style="16" customWidth="1"/>
    <col min="17" max="17" width="10.7109375" style="16" bestFit="1" customWidth="1"/>
    <col min="18" max="18" width="10.140625" style="16" bestFit="1" customWidth="1"/>
    <col min="19" max="25" width="9.140625" style="16"/>
  </cols>
  <sheetData>
    <row r="2" spans="1:19" s="81" customFormat="1" ht="14.25" x14ac:dyDescent="0.2"/>
    <row r="3" spans="1:19" s="81" customFormat="1" ht="17.25" customHeight="1" x14ac:dyDescent="0.25">
      <c r="K3" s="115"/>
      <c r="L3" s="115"/>
      <c r="M3" s="115"/>
      <c r="N3" s="115"/>
      <c r="O3" s="118" t="s">
        <v>106</v>
      </c>
      <c r="P3" s="118"/>
      <c r="Q3" s="118"/>
      <c r="R3" s="118"/>
    </row>
    <row r="4" spans="1:19" s="81" customFormat="1" ht="17.25" customHeight="1" x14ac:dyDescent="0.25">
      <c r="K4" s="115"/>
      <c r="L4" s="115"/>
      <c r="M4" s="115"/>
      <c r="N4" s="115"/>
      <c r="O4" s="232" t="s">
        <v>82</v>
      </c>
      <c r="P4" s="232"/>
      <c r="Q4" s="232"/>
      <c r="R4" s="232"/>
    </row>
    <row r="5" spans="1:19" s="81" customFormat="1" ht="17.25" customHeight="1" x14ac:dyDescent="0.25">
      <c r="K5" s="117"/>
      <c r="L5" s="117"/>
      <c r="M5" s="117"/>
      <c r="N5" s="117"/>
      <c r="O5" s="232" t="s">
        <v>81</v>
      </c>
      <c r="P5" s="232"/>
      <c r="Q5" s="232"/>
      <c r="R5" s="232"/>
    </row>
    <row r="6" spans="1:19" s="81" customFormat="1" ht="17.25" customHeight="1" x14ac:dyDescent="0.25">
      <c r="K6" s="116"/>
      <c r="L6" s="115"/>
      <c r="M6" s="115"/>
      <c r="N6" s="115"/>
      <c r="O6" s="233" t="s">
        <v>83</v>
      </c>
      <c r="P6" s="233"/>
      <c r="Q6" s="233"/>
      <c r="R6" s="233"/>
      <c r="S6" s="233"/>
    </row>
    <row r="8" spans="1:19" ht="15.75" x14ac:dyDescent="0.25">
      <c r="A8" s="255" t="s">
        <v>38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</row>
    <row r="9" spans="1:19" ht="15.75" x14ac:dyDescent="0.25">
      <c r="A9" s="3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9" ht="33.75" customHeight="1" x14ac:dyDescent="0.25">
      <c r="A10" s="256" t="s">
        <v>65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</row>
    <row r="12" spans="1:19" ht="15.75" thickBot="1" x14ac:dyDescent="0.3"/>
    <row r="13" spans="1:19" ht="68.25" customHeight="1" thickBot="1" x14ac:dyDescent="0.3">
      <c r="A13" s="257" t="s">
        <v>0</v>
      </c>
      <c r="B13" s="259" t="s">
        <v>15</v>
      </c>
      <c r="C13" s="260"/>
      <c r="D13" s="260"/>
      <c r="E13" s="260"/>
      <c r="F13" s="260"/>
      <c r="G13" s="261" t="s">
        <v>16</v>
      </c>
      <c r="H13" s="262"/>
      <c r="I13" s="262"/>
      <c r="J13" s="262"/>
      <c r="K13" s="262"/>
      <c r="L13" s="262"/>
      <c r="M13" s="262"/>
      <c r="N13" s="262"/>
      <c r="O13" s="263"/>
      <c r="P13" s="18" t="s">
        <v>1</v>
      </c>
      <c r="Q13" s="264" t="s">
        <v>2</v>
      </c>
      <c r="R13" s="266" t="s">
        <v>30</v>
      </c>
    </row>
    <row r="14" spans="1:19" ht="22.5" customHeight="1" x14ac:dyDescent="0.25">
      <c r="A14" s="258"/>
      <c r="B14" s="249" t="s">
        <v>3</v>
      </c>
      <c r="C14" s="249" t="s">
        <v>4</v>
      </c>
      <c r="D14" s="249" t="s">
        <v>5</v>
      </c>
      <c r="E14" s="251" t="s">
        <v>6</v>
      </c>
      <c r="F14" s="252"/>
      <c r="G14" s="253" t="s">
        <v>17</v>
      </c>
      <c r="H14" s="250" t="s">
        <v>14</v>
      </c>
      <c r="I14" s="250" t="s">
        <v>18</v>
      </c>
      <c r="J14" s="250" t="s">
        <v>19</v>
      </c>
      <c r="K14" s="253" t="s">
        <v>20</v>
      </c>
      <c r="L14" s="268" t="s">
        <v>21</v>
      </c>
      <c r="M14" s="270" t="s">
        <v>22</v>
      </c>
      <c r="N14" s="245" t="s">
        <v>7</v>
      </c>
      <c r="O14" s="246"/>
      <c r="P14" s="19" t="s">
        <v>24</v>
      </c>
      <c r="Q14" s="253"/>
      <c r="R14" s="267"/>
    </row>
    <row r="15" spans="1:19" ht="68.25" customHeight="1" thickBot="1" x14ac:dyDescent="0.3">
      <c r="A15" s="258"/>
      <c r="B15" s="250"/>
      <c r="C15" s="250"/>
      <c r="D15" s="250"/>
      <c r="E15" s="253"/>
      <c r="F15" s="254"/>
      <c r="G15" s="253"/>
      <c r="H15" s="250"/>
      <c r="I15" s="250"/>
      <c r="J15" s="250"/>
      <c r="K15" s="253"/>
      <c r="L15" s="269"/>
      <c r="M15" s="271"/>
      <c r="N15" s="247"/>
      <c r="O15" s="248"/>
      <c r="P15" s="20"/>
      <c r="Q15" s="265"/>
      <c r="R15" s="267"/>
    </row>
    <row r="16" spans="1:19" ht="39" customHeight="1" thickBot="1" x14ac:dyDescent="0.3">
      <c r="A16" s="1"/>
      <c r="B16" s="21" t="s">
        <v>10</v>
      </c>
      <c r="C16" s="21" t="s">
        <v>10</v>
      </c>
      <c r="D16" s="21" t="s">
        <v>10</v>
      </c>
      <c r="E16" s="21" t="s">
        <v>10</v>
      </c>
      <c r="F16" s="22" t="s">
        <v>28</v>
      </c>
      <c r="G16" s="21" t="s">
        <v>10</v>
      </c>
      <c r="H16" s="21" t="s">
        <v>10</v>
      </c>
      <c r="I16" s="21" t="s">
        <v>10</v>
      </c>
      <c r="J16" s="21" t="s">
        <v>10</v>
      </c>
      <c r="K16" s="21" t="s">
        <v>10</v>
      </c>
      <c r="L16" s="21" t="s">
        <v>10</v>
      </c>
      <c r="M16" s="21" t="s">
        <v>10</v>
      </c>
      <c r="N16" s="21" t="s">
        <v>10</v>
      </c>
      <c r="O16" s="22" t="s">
        <v>29</v>
      </c>
      <c r="P16" s="23" t="s">
        <v>10</v>
      </c>
      <c r="Q16" s="33" t="s">
        <v>26</v>
      </c>
      <c r="R16" s="22" t="s">
        <v>27</v>
      </c>
    </row>
    <row r="17" spans="1:19" ht="19.5" customHeight="1" thickBot="1" x14ac:dyDescent="0.3">
      <c r="A17" s="2">
        <v>1</v>
      </c>
      <c r="B17" s="24">
        <v>2</v>
      </c>
      <c r="C17" s="24">
        <v>3</v>
      </c>
      <c r="D17" s="24">
        <v>4</v>
      </c>
      <c r="E17" s="24">
        <v>5</v>
      </c>
      <c r="F17" s="24">
        <v>6</v>
      </c>
      <c r="G17" s="24">
        <v>7</v>
      </c>
      <c r="H17" s="24">
        <v>8</v>
      </c>
      <c r="I17" s="24">
        <v>9</v>
      </c>
      <c r="J17" s="24">
        <v>10</v>
      </c>
      <c r="K17" s="24">
        <v>11</v>
      </c>
      <c r="L17" s="24">
        <v>12</v>
      </c>
      <c r="M17" s="24">
        <v>13</v>
      </c>
      <c r="N17" s="24">
        <v>14</v>
      </c>
      <c r="O17" s="24">
        <v>15</v>
      </c>
      <c r="P17" s="24">
        <v>16</v>
      </c>
      <c r="Q17" s="34">
        <v>17</v>
      </c>
      <c r="R17" s="25">
        <v>18</v>
      </c>
    </row>
    <row r="18" spans="1:19" s="16" customFormat="1" x14ac:dyDescent="0.25">
      <c r="A18" s="38" t="s">
        <v>8</v>
      </c>
      <c r="B18" s="26"/>
      <c r="C18" s="26"/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35"/>
      <c r="R18" s="28"/>
    </row>
    <row r="19" spans="1:19" s="16" customFormat="1" ht="56.25" x14ac:dyDescent="0.25">
      <c r="A19" s="39" t="s">
        <v>31</v>
      </c>
      <c r="B19" s="7">
        <f>10338.79/31496.75*2976</f>
        <v>976.87028153698395</v>
      </c>
      <c r="C19" s="7">
        <f>21.34/31496.75*2976</f>
        <v>2.0163299388032097</v>
      </c>
      <c r="D19" s="7">
        <f>38.57/31496.75*2976</f>
        <v>3.6443226682117995</v>
      </c>
      <c r="E19" s="8">
        <f>SUM(B19:D19)</f>
        <v>982.53093414399893</v>
      </c>
      <c r="F19" s="8">
        <f>E19/Q19</f>
        <v>0.33015152356989214</v>
      </c>
      <c r="G19" s="7">
        <f>3364.13/31496.75*2976</f>
        <v>317.86298205370394</v>
      </c>
      <c r="H19" s="7">
        <f>200.28/31496.75*2976</f>
        <v>18.923643868018129</v>
      </c>
      <c r="I19" s="9">
        <v>0</v>
      </c>
      <c r="J19" s="7">
        <f>1.53/31496.75*2976</f>
        <v>0.14456348670894617</v>
      </c>
      <c r="K19" s="7">
        <f>61.04/31496.75*2976</f>
        <v>5.7674217181137735</v>
      </c>
      <c r="L19" s="7">
        <v>0</v>
      </c>
      <c r="M19" s="7">
        <f>829.45/31496.75*2976</f>
        <v>78.371362124663662</v>
      </c>
      <c r="N19" s="8">
        <f>SUM(G19:M19)</f>
        <v>421.06997325120847</v>
      </c>
      <c r="O19" s="8">
        <f t="shared" ref="O19:O26" si="0">N19/Q19</f>
        <v>0.14148856628064801</v>
      </c>
      <c r="P19" s="8">
        <f>E19+N19</f>
        <v>1403.6009073952073</v>
      </c>
      <c r="Q19" s="77">
        <v>2976</v>
      </c>
      <c r="R19" s="14">
        <f>P19/Q19</f>
        <v>0.47164008985054007</v>
      </c>
    </row>
    <row r="20" spans="1:19" s="16" customFormat="1" ht="56.25" x14ac:dyDescent="0.25">
      <c r="A20" s="39" t="s">
        <v>32</v>
      </c>
      <c r="B20" s="7">
        <f>10338.79/31496.75*2321.5</f>
        <v>762.03103447181059</v>
      </c>
      <c r="C20" s="7">
        <f>21.34/31496.75*2321.5</f>
        <v>1.5728864089152055</v>
      </c>
      <c r="D20" s="7">
        <f>38.57/31496.75*2321.5</f>
        <v>2.8428410867787948</v>
      </c>
      <c r="E20" s="8">
        <f t="shared" ref="E20:E24" si="1">SUM(B20:D20)</f>
        <v>766.44676196750459</v>
      </c>
      <c r="F20" s="8">
        <f t="shared" ref="F20:F25" si="2">E20/Q20</f>
        <v>0.33015152356989214</v>
      </c>
      <c r="G20" s="7">
        <f>3364.13/31496.75*2321.5</f>
        <v>247.95662393739039</v>
      </c>
      <c r="H20" s="7">
        <f>200.28/31496.75*2321.5</f>
        <v>14.761841142340081</v>
      </c>
      <c r="I20" s="9">
        <v>0</v>
      </c>
      <c r="J20" s="7">
        <f>1.53/31496.75*2321.5</f>
        <v>0.11277020644987182</v>
      </c>
      <c r="K20" s="7">
        <f>61.04/31496.75*2321.5</f>
        <v>4.4990152952288724</v>
      </c>
      <c r="L20" s="7"/>
      <c r="M20" s="7">
        <f>829.45/31496.75*2321.5</f>
        <v>61.135456039115155</v>
      </c>
      <c r="N20" s="8">
        <f t="shared" ref="N20:N24" si="3">SUM(G20:M20)</f>
        <v>328.46570662052443</v>
      </c>
      <c r="O20" s="8">
        <f t="shared" si="0"/>
        <v>0.14148856628064804</v>
      </c>
      <c r="P20" s="8">
        <f t="shared" ref="P20:P23" si="4">E20+N20</f>
        <v>1094.912468588029</v>
      </c>
      <c r="Q20" s="77">
        <v>2321.5</v>
      </c>
      <c r="R20" s="14">
        <f t="shared" ref="R20:R25" si="5">P20/Q20</f>
        <v>0.47164008985054018</v>
      </c>
    </row>
    <row r="21" spans="1:19" s="16" customFormat="1" ht="56.25" x14ac:dyDescent="0.25">
      <c r="A21" s="39" t="s">
        <v>33</v>
      </c>
      <c r="B21" s="7">
        <f>10338.79/31496.75*5870.5</f>
        <v>1926.988235135371</v>
      </c>
      <c r="C21" s="7">
        <f>21.34/31496.75*5870.5</f>
        <v>3.9774411645645977</v>
      </c>
      <c r="D21" s="7">
        <f>38.57/31496.75*5870.5</f>
        <v>7.1888428171160514</v>
      </c>
      <c r="E21" s="8">
        <f t="shared" si="1"/>
        <v>1938.1545191170517</v>
      </c>
      <c r="F21" s="8">
        <f t="shared" si="2"/>
        <v>0.33015152356989214</v>
      </c>
      <c r="G21" s="7">
        <f>3364.13/31496.75*5870.5</f>
        <v>627.0210470921603</v>
      </c>
      <c r="H21" s="7">
        <f>200.28/31496.75*5870.5</f>
        <v>37.329049505107669</v>
      </c>
      <c r="I21" s="9">
        <v>0</v>
      </c>
      <c r="J21" s="7">
        <f>1.53/31496.75*5870.5</f>
        <v>0.28516799352314132</v>
      </c>
      <c r="K21" s="7">
        <f>61.04/31496.75*5870.5</f>
        <v>11.376898251406891</v>
      </c>
      <c r="L21" s="7"/>
      <c r="M21" s="7">
        <f>829.45/31496.75*5870.5</f>
        <v>154.59646550834611</v>
      </c>
      <c r="N21" s="8">
        <f t="shared" si="3"/>
        <v>830.60862835054422</v>
      </c>
      <c r="O21" s="8">
        <f t="shared" si="0"/>
        <v>0.14148856628064801</v>
      </c>
      <c r="P21" s="8">
        <f t="shared" si="4"/>
        <v>2768.7631474675959</v>
      </c>
      <c r="Q21" s="77">
        <v>5870.5</v>
      </c>
      <c r="R21" s="14">
        <f t="shared" si="5"/>
        <v>0.47164008985054012</v>
      </c>
    </row>
    <row r="22" spans="1:19" s="16" customFormat="1" ht="56.25" x14ac:dyDescent="0.25">
      <c r="A22" s="39" t="s">
        <v>34</v>
      </c>
      <c r="B22" s="7">
        <f>10338.79/31496.75*4637.5</f>
        <v>1522.256697119544</v>
      </c>
      <c r="C22" s="7">
        <f>21.34/31496.75*4637.5</f>
        <v>3.1420464016128649</v>
      </c>
      <c r="D22" s="7">
        <f>38.57/31496.75*4637.5</f>
        <v>5.6789470342178161</v>
      </c>
      <c r="E22" s="8">
        <f t="shared" si="1"/>
        <v>1531.0776905553746</v>
      </c>
      <c r="F22" s="8">
        <f t="shared" si="2"/>
        <v>0.33015152356989208</v>
      </c>
      <c r="G22" s="7">
        <f>3364.13/31496.75*4637.5</f>
        <v>495.32579948724873</v>
      </c>
      <c r="H22" s="7">
        <f>200.28/31496.75*4637.5</f>
        <v>29.488709152531609</v>
      </c>
      <c r="I22" s="13">
        <v>0</v>
      </c>
      <c r="J22" s="7">
        <f>1.53/31496.75*4637.5</f>
        <v>0.22527324247739847</v>
      </c>
      <c r="K22" s="7">
        <f>61.04/31496.75*4637.5</f>
        <v>8.987371712954511</v>
      </c>
      <c r="L22" s="7"/>
      <c r="M22" s="7">
        <f>829.45/31496.75*4637.5</f>
        <v>122.12607253129292</v>
      </c>
      <c r="N22" s="8">
        <f t="shared" si="3"/>
        <v>656.15322612650527</v>
      </c>
      <c r="O22" s="8">
        <f t="shared" si="0"/>
        <v>0.14148856628064804</v>
      </c>
      <c r="P22" s="8">
        <f t="shared" si="4"/>
        <v>2187.23091668188</v>
      </c>
      <c r="Q22" s="78">
        <v>4637.5</v>
      </c>
      <c r="R22" s="14">
        <f t="shared" si="5"/>
        <v>0.47164008985054018</v>
      </c>
      <c r="S22" s="15"/>
    </row>
    <row r="23" spans="1:19" s="16" customFormat="1" ht="45" x14ac:dyDescent="0.25">
      <c r="A23" s="39" t="s">
        <v>36</v>
      </c>
      <c r="B23" s="7">
        <f>10338.79/31496.75*6360</f>
        <v>2087.6663274782318</v>
      </c>
      <c r="C23" s="7">
        <f>21.34/31496.75*6360</f>
        <v>4.3090922079262146</v>
      </c>
      <c r="D23" s="7">
        <f>38.57/31496.75*6360</f>
        <v>7.7882702183558621</v>
      </c>
      <c r="E23" s="8">
        <f t="shared" si="1"/>
        <v>2099.7636899045142</v>
      </c>
      <c r="F23" s="8">
        <f t="shared" si="2"/>
        <v>0.33015152356989219</v>
      </c>
      <c r="G23" s="7">
        <f>3364.13/31496.75*6360</f>
        <v>679.30395358251258</v>
      </c>
      <c r="H23" s="7">
        <f>200.28/31496.75*6360</f>
        <v>40.441658266329064</v>
      </c>
      <c r="I23" s="13">
        <v>0</v>
      </c>
      <c r="J23" s="7">
        <f>1.53/31496.75*6360</f>
        <v>0.30894616111186074</v>
      </c>
      <c r="K23" s="7">
        <f>61.04/31496.75*6360</f>
        <v>12.325538349194758</v>
      </c>
      <c r="L23" s="7"/>
      <c r="M23" s="7">
        <f>829.45/31496.75*6360</f>
        <v>167.48718518577314</v>
      </c>
      <c r="N23" s="8">
        <f t="shared" si="3"/>
        <v>899.86728154492141</v>
      </c>
      <c r="O23" s="8">
        <f t="shared" si="0"/>
        <v>0.14148856628064801</v>
      </c>
      <c r="P23" s="8">
        <f t="shared" si="4"/>
        <v>2999.6309714494355</v>
      </c>
      <c r="Q23" s="78">
        <v>6360</v>
      </c>
      <c r="R23" s="14">
        <f t="shared" si="5"/>
        <v>0.47164008985054018</v>
      </c>
      <c r="S23" s="15"/>
    </row>
    <row r="24" spans="1:19" s="16" customFormat="1" ht="45" x14ac:dyDescent="0.25">
      <c r="A24" s="39" t="s">
        <v>37</v>
      </c>
      <c r="B24" s="7">
        <f>10338.79/31496.75*9331.25</f>
        <v>3062.9774242580584</v>
      </c>
      <c r="C24" s="7">
        <f>21.34/31496.75*9331.25</f>
        <v>6.3222038781779073</v>
      </c>
      <c r="D24" s="7">
        <f>38.57/31496.75*9331.25</f>
        <v>11.426776175319675</v>
      </c>
      <c r="E24" s="8">
        <f t="shared" si="1"/>
        <v>3080.7264043115561</v>
      </c>
      <c r="F24" s="8">
        <f t="shared" si="2"/>
        <v>0.33015152356989214</v>
      </c>
      <c r="G24" s="7">
        <f>3364.13/31496.75*9331.25</f>
        <v>996.65959384698431</v>
      </c>
      <c r="H24" s="7">
        <f>200.28/31496.75*9331.25</f>
        <v>59.335098065673442</v>
      </c>
      <c r="I24" s="13">
        <v>0</v>
      </c>
      <c r="J24" s="7">
        <f>1.53/31496.75*9331.25</f>
        <v>0.45327890972878154</v>
      </c>
      <c r="K24" s="7">
        <f>61.04/31496.75*9331.25</f>
        <v>18.083754673101193</v>
      </c>
      <c r="L24" s="7"/>
      <c r="M24" s="7">
        <f>829.45/31496.75*9331.25</f>
        <v>245.73345861080907</v>
      </c>
      <c r="N24" s="8">
        <f t="shared" si="3"/>
        <v>1320.2651841062968</v>
      </c>
      <c r="O24" s="8">
        <f t="shared" si="0"/>
        <v>0.14148856628064801</v>
      </c>
      <c r="P24" s="8">
        <f>E24+N24</f>
        <v>4400.9915884178527</v>
      </c>
      <c r="Q24" s="78">
        <v>9331.25</v>
      </c>
      <c r="R24" s="14">
        <f t="shared" si="5"/>
        <v>0.47164008985054012</v>
      </c>
      <c r="S24" s="15"/>
    </row>
    <row r="25" spans="1:19" s="16" customFormat="1" ht="34.5" thickBot="1" x14ac:dyDescent="0.3">
      <c r="A25" s="37" t="s">
        <v>35</v>
      </c>
      <c r="B25" s="11">
        <v>12019.01</v>
      </c>
      <c r="C25" s="11">
        <v>24.8</v>
      </c>
      <c r="D25" s="11">
        <v>44.83</v>
      </c>
      <c r="E25" s="12">
        <f t="shared" ref="E25" si="6">B25+C25+D25</f>
        <v>12088.64</v>
      </c>
      <c r="F25" s="8">
        <f t="shared" si="2"/>
        <v>0.33015089238164164</v>
      </c>
      <c r="G25" s="11">
        <v>3910.86</v>
      </c>
      <c r="H25" s="11">
        <v>232.82</v>
      </c>
      <c r="I25" s="10">
        <v>0</v>
      </c>
      <c r="J25" s="11">
        <v>1.77</v>
      </c>
      <c r="K25" s="11">
        <v>70.959999999999994</v>
      </c>
      <c r="L25" s="10"/>
      <c r="M25" s="11">
        <v>964.26</v>
      </c>
      <c r="N25" s="11">
        <f>SUM(G25:M25)</f>
        <v>5180.670000000001</v>
      </c>
      <c r="O25" s="29">
        <f t="shared" si="0"/>
        <v>0.14148844068768693</v>
      </c>
      <c r="P25" s="11">
        <f>E25+N25</f>
        <v>17269.310000000001</v>
      </c>
      <c r="Q25" s="79">
        <v>36615.5</v>
      </c>
      <c r="R25" s="14">
        <f t="shared" si="5"/>
        <v>0.47163933306932859</v>
      </c>
      <c r="S25" s="15"/>
    </row>
    <row r="26" spans="1:19" s="16" customFormat="1" ht="15.75" thickBot="1" x14ac:dyDescent="0.3">
      <c r="A26" s="36" t="s">
        <v>9</v>
      </c>
      <c r="B26" s="5">
        <f>SUM(B19:B25)</f>
        <v>22357.800000000003</v>
      </c>
      <c r="C26" s="5">
        <f>SUM(C19:C25)</f>
        <v>46.14</v>
      </c>
      <c r="D26" s="5">
        <f>SUM(D19:D25)</f>
        <v>83.4</v>
      </c>
      <c r="E26" s="5">
        <f>SUM(E19:E25)</f>
        <v>22487.339999999997</v>
      </c>
      <c r="F26" s="30">
        <f>E26/Q26</f>
        <v>0.33015118425833823</v>
      </c>
      <c r="G26" s="5">
        <f>SUM(G19:G25)</f>
        <v>7274.99</v>
      </c>
      <c r="H26" s="5">
        <f>SUM(H19:H25)</f>
        <v>433.09999999999997</v>
      </c>
      <c r="I26" s="6">
        <f t="shared" ref="I26" si="7">SUM(I22:I25)</f>
        <v>0</v>
      </c>
      <c r="J26" s="6">
        <f>SUM(J19:J25)</f>
        <v>3.3</v>
      </c>
      <c r="K26" s="5">
        <f>SUM(K19:K25)</f>
        <v>132</v>
      </c>
      <c r="L26" s="6">
        <f>SUM(L22:L25)</f>
        <v>0</v>
      </c>
      <c r="M26" s="5">
        <f>SUM(M19:M25)</f>
        <v>1793.71</v>
      </c>
      <c r="N26" s="5">
        <f>SUM(N19:N25)</f>
        <v>9637.1000000000022</v>
      </c>
      <c r="O26" s="30">
        <f t="shared" si="0"/>
        <v>0.14148849876490649</v>
      </c>
      <c r="P26" s="5">
        <f>SUM(P19:P25)</f>
        <v>32124.44</v>
      </c>
      <c r="Q26" s="80">
        <f>SUM(Q19:Q25)</f>
        <v>68112.25</v>
      </c>
      <c r="R26" s="31">
        <f>P26/Q26</f>
        <v>0.47163968302324472</v>
      </c>
    </row>
    <row r="27" spans="1:19" s="16" customFormat="1" ht="15.75" x14ac:dyDescent="0.25">
      <c r="A27" s="40"/>
      <c r="P27" s="32"/>
    </row>
    <row r="28" spans="1:19" s="16" customFormat="1" ht="15.75" x14ac:dyDescent="0.25">
      <c r="A28" s="40" t="s">
        <v>11</v>
      </c>
    </row>
    <row r="29" spans="1:19" s="16" customFormat="1" ht="15.75" x14ac:dyDescent="0.25">
      <c r="A29" s="40" t="s">
        <v>12</v>
      </c>
    </row>
    <row r="30" spans="1:19" ht="15.75" x14ac:dyDescent="0.25">
      <c r="A30" s="4" t="s">
        <v>13</v>
      </c>
    </row>
    <row r="31" spans="1:19" ht="15.75" x14ac:dyDescent="0.25">
      <c r="A31" s="4" t="s">
        <v>23</v>
      </c>
    </row>
    <row r="32" spans="1:19" ht="15.75" x14ac:dyDescent="0.25">
      <c r="A32" s="4" t="s">
        <v>25</v>
      </c>
    </row>
  </sheetData>
  <mergeCells count="22">
    <mergeCell ref="A13:A15"/>
    <mergeCell ref="B13:F13"/>
    <mergeCell ref="G13:O13"/>
    <mergeCell ref="Q13:Q15"/>
    <mergeCell ref="R13:R15"/>
    <mergeCell ref="B14:B15"/>
    <mergeCell ref="C14:C15"/>
    <mergeCell ref="K14:K15"/>
    <mergeCell ref="L14:L15"/>
    <mergeCell ref="M14:M15"/>
    <mergeCell ref="O4:R4"/>
    <mergeCell ref="O5:R5"/>
    <mergeCell ref="O6:S6"/>
    <mergeCell ref="A8:R8"/>
    <mergeCell ref="A10:R10"/>
    <mergeCell ref="N14:O15"/>
    <mergeCell ref="D14:D15"/>
    <mergeCell ref="E14:F15"/>
    <mergeCell ref="G14:G15"/>
    <mergeCell ref="H14:H15"/>
    <mergeCell ref="I14:I15"/>
    <mergeCell ref="J14:J15"/>
  </mergeCells>
  <pageMargins left="0.78740157480314965" right="0.78740157480314965" top="0" bottom="0" header="0.31496062992125984" footer="0.31496062992125984"/>
  <pageSetup paperSize="9" scale="60" orientation="landscape" r:id="rId1"/>
  <headerFooter>
    <oddHeader>&amp;C4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29"/>
  <sheetViews>
    <sheetView view="pageLayout" zoomScaleNormal="100" workbookViewId="0">
      <selection activeCell="D1" sqref="D1:D1048576"/>
    </sheetView>
  </sheetViews>
  <sheetFormatPr defaultColWidth="9.140625" defaultRowHeight="14.25" x14ac:dyDescent="0.2"/>
  <cols>
    <col min="1" max="1" width="32.28515625" style="81" customWidth="1"/>
    <col min="2" max="2" width="15.28515625" style="81" customWidth="1"/>
    <col min="3" max="3" width="9.28515625" style="81" customWidth="1"/>
    <col min="4" max="4" width="9.28515625" style="81" bestFit="1" customWidth="1"/>
    <col min="5" max="5" width="11.140625" style="81" customWidth="1"/>
    <col min="6" max="6" width="9.28515625" style="81" bestFit="1" customWidth="1"/>
    <col min="7" max="7" width="11.7109375" style="81" customWidth="1"/>
    <col min="8" max="8" width="11.5703125" style="81" customWidth="1"/>
    <col min="9" max="9" width="10" style="81" customWidth="1"/>
    <col min="10" max="12" width="9.28515625" style="81" bestFit="1" customWidth="1"/>
    <col min="13" max="13" width="9.5703125" style="81" bestFit="1" customWidth="1"/>
    <col min="14" max="14" width="11.42578125" style="81" customWidth="1"/>
    <col min="15" max="15" width="9.5703125" style="81" bestFit="1" customWidth="1"/>
    <col min="16" max="16" width="11.85546875" style="81" customWidth="1"/>
    <col min="17" max="17" width="10.42578125" style="81" bestFit="1" customWidth="1"/>
    <col min="18" max="18" width="10" style="81" customWidth="1"/>
    <col min="19" max="16384" width="9.140625" style="81"/>
  </cols>
  <sheetData>
    <row r="1" spans="1:19" ht="15.75" customHeight="1" x14ac:dyDescent="0.2"/>
    <row r="3" spans="1:19" ht="17.25" customHeight="1" x14ac:dyDescent="0.25">
      <c r="K3" s="115"/>
      <c r="L3" s="115"/>
      <c r="M3" s="115"/>
      <c r="N3" s="115"/>
      <c r="O3" s="158" t="s">
        <v>106</v>
      </c>
      <c r="P3" s="158"/>
      <c r="Q3" s="158"/>
      <c r="R3" s="158"/>
    </row>
    <row r="4" spans="1:19" ht="17.25" customHeight="1" x14ac:dyDescent="0.25">
      <c r="K4" s="115"/>
      <c r="L4" s="115"/>
      <c r="M4" s="115"/>
      <c r="N4" s="115"/>
      <c r="O4" s="232" t="s">
        <v>82</v>
      </c>
      <c r="P4" s="232"/>
      <c r="Q4" s="232"/>
      <c r="R4" s="232"/>
    </row>
    <row r="5" spans="1:19" ht="17.25" customHeight="1" x14ac:dyDescent="0.25">
      <c r="K5" s="117"/>
      <c r="L5" s="117"/>
      <c r="M5" s="117"/>
      <c r="N5" s="117"/>
      <c r="O5" s="232" t="s">
        <v>81</v>
      </c>
      <c r="P5" s="232"/>
      <c r="Q5" s="232"/>
      <c r="R5" s="232"/>
    </row>
    <row r="6" spans="1:19" ht="17.25" customHeight="1" x14ac:dyDescent="0.25">
      <c r="K6" s="116"/>
      <c r="L6" s="115"/>
      <c r="M6" s="115"/>
      <c r="N6" s="115"/>
      <c r="O6" s="233" t="s">
        <v>83</v>
      </c>
      <c r="P6" s="233"/>
      <c r="Q6" s="233"/>
      <c r="R6" s="233"/>
      <c r="S6" s="233"/>
    </row>
    <row r="8" spans="1:19" ht="18" x14ac:dyDescent="0.25">
      <c r="A8" s="274" t="s">
        <v>80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</row>
    <row r="9" spans="1:19" ht="15" x14ac:dyDescent="0.2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</row>
    <row r="10" spans="1:19" ht="29.25" customHeight="1" x14ac:dyDescent="0.2">
      <c r="A10" s="275" t="s">
        <v>100</v>
      </c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</row>
    <row r="12" spans="1:19" ht="15" thickBot="1" x14ac:dyDescent="0.25"/>
    <row r="13" spans="1:19" ht="89.25" customHeight="1" thickBot="1" x14ac:dyDescent="0.25">
      <c r="A13" s="276" t="s">
        <v>0</v>
      </c>
      <c r="B13" s="278" t="s">
        <v>15</v>
      </c>
      <c r="C13" s="279"/>
      <c r="D13" s="279"/>
      <c r="E13" s="279"/>
      <c r="F13" s="279"/>
      <c r="G13" s="280" t="s">
        <v>16</v>
      </c>
      <c r="H13" s="281"/>
      <c r="I13" s="281"/>
      <c r="J13" s="281"/>
      <c r="K13" s="281"/>
      <c r="L13" s="281"/>
      <c r="M13" s="281"/>
      <c r="N13" s="281"/>
      <c r="O13" s="282"/>
      <c r="P13" s="159" t="s">
        <v>1</v>
      </c>
      <c r="Q13" s="283" t="s">
        <v>2</v>
      </c>
      <c r="R13" s="286" t="s">
        <v>78</v>
      </c>
    </row>
    <row r="14" spans="1:19" ht="22.5" customHeight="1" x14ac:dyDescent="0.2">
      <c r="A14" s="277"/>
      <c r="B14" s="292" t="s">
        <v>77</v>
      </c>
      <c r="C14" s="292" t="s">
        <v>4</v>
      </c>
      <c r="D14" s="292" t="s">
        <v>5</v>
      </c>
      <c r="E14" s="294" t="s">
        <v>76</v>
      </c>
      <c r="F14" s="295"/>
      <c r="G14" s="284" t="s">
        <v>75</v>
      </c>
      <c r="H14" s="293" t="s">
        <v>14</v>
      </c>
      <c r="I14" s="293" t="s">
        <v>18</v>
      </c>
      <c r="J14" s="293" t="s">
        <v>19</v>
      </c>
      <c r="K14" s="284" t="s">
        <v>20</v>
      </c>
      <c r="L14" s="297" t="s">
        <v>21</v>
      </c>
      <c r="M14" s="272" t="s">
        <v>22</v>
      </c>
      <c r="N14" s="288" t="s">
        <v>74</v>
      </c>
      <c r="O14" s="289"/>
      <c r="P14" s="160" t="s">
        <v>24</v>
      </c>
      <c r="Q14" s="284"/>
      <c r="R14" s="287"/>
    </row>
    <row r="15" spans="1:19" ht="79.5" customHeight="1" thickBot="1" x14ac:dyDescent="0.25">
      <c r="A15" s="277"/>
      <c r="B15" s="293"/>
      <c r="C15" s="293"/>
      <c r="D15" s="293"/>
      <c r="E15" s="284"/>
      <c r="F15" s="296"/>
      <c r="G15" s="284"/>
      <c r="H15" s="293"/>
      <c r="I15" s="293"/>
      <c r="J15" s="293"/>
      <c r="K15" s="284"/>
      <c r="L15" s="298"/>
      <c r="M15" s="273"/>
      <c r="N15" s="290"/>
      <c r="O15" s="291"/>
      <c r="P15" s="111"/>
      <c r="Q15" s="285"/>
      <c r="R15" s="287"/>
    </row>
    <row r="16" spans="1:19" ht="51" customHeight="1" thickBot="1" x14ac:dyDescent="0.25">
      <c r="A16" s="110"/>
      <c r="B16" s="109" t="s">
        <v>10</v>
      </c>
      <c r="C16" s="109" t="s">
        <v>10</v>
      </c>
      <c r="D16" s="109" t="s">
        <v>10</v>
      </c>
      <c r="E16" s="109" t="s">
        <v>10</v>
      </c>
      <c r="F16" s="106" t="s">
        <v>73</v>
      </c>
      <c r="G16" s="109" t="s">
        <v>10</v>
      </c>
      <c r="H16" s="109" t="s">
        <v>10</v>
      </c>
      <c r="I16" s="109" t="s">
        <v>10</v>
      </c>
      <c r="J16" s="109" t="s">
        <v>10</v>
      </c>
      <c r="K16" s="109" t="s">
        <v>10</v>
      </c>
      <c r="L16" s="109" t="s">
        <v>10</v>
      </c>
      <c r="M16" s="109" t="s">
        <v>10</v>
      </c>
      <c r="N16" s="109" t="s">
        <v>10</v>
      </c>
      <c r="O16" s="106" t="s">
        <v>72</v>
      </c>
      <c r="P16" s="108" t="s">
        <v>10</v>
      </c>
      <c r="Q16" s="107" t="s">
        <v>26</v>
      </c>
      <c r="R16" s="106" t="s">
        <v>27</v>
      </c>
    </row>
    <row r="17" spans="1:18" ht="19.5" customHeight="1" thickBot="1" x14ac:dyDescent="0.25">
      <c r="A17" s="109">
        <v>1</v>
      </c>
      <c r="B17" s="105">
        <v>2</v>
      </c>
      <c r="C17" s="105">
        <v>3</v>
      </c>
      <c r="D17" s="105">
        <v>4</v>
      </c>
      <c r="E17" s="105">
        <v>5</v>
      </c>
      <c r="F17" s="105">
        <v>6</v>
      </c>
      <c r="G17" s="105">
        <v>7</v>
      </c>
      <c r="H17" s="105">
        <v>8</v>
      </c>
      <c r="I17" s="105">
        <v>9</v>
      </c>
      <c r="J17" s="105">
        <v>10</v>
      </c>
      <c r="K17" s="105">
        <v>11</v>
      </c>
      <c r="L17" s="105">
        <v>12</v>
      </c>
      <c r="M17" s="105">
        <v>13</v>
      </c>
      <c r="N17" s="105">
        <v>14</v>
      </c>
      <c r="O17" s="105">
        <v>15</v>
      </c>
      <c r="P17" s="105">
        <v>16</v>
      </c>
      <c r="Q17" s="104">
        <v>17</v>
      </c>
      <c r="R17" s="103">
        <v>18</v>
      </c>
    </row>
    <row r="18" spans="1:18" x14ac:dyDescent="0.2">
      <c r="A18" s="161" t="s">
        <v>8</v>
      </c>
      <c r="B18" s="101"/>
      <c r="C18" s="101"/>
      <c r="D18" s="101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99"/>
      <c r="R18" s="98"/>
    </row>
    <row r="19" spans="1:18" ht="38.25" x14ac:dyDescent="0.2">
      <c r="A19" s="162" t="s">
        <v>101</v>
      </c>
      <c r="B19" s="163">
        <v>7843.83</v>
      </c>
      <c r="C19" s="164">
        <v>58.14</v>
      </c>
      <c r="D19" s="163">
        <v>48.82</v>
      </c>
      <c r="E19" s="165">
        <f>SUM(B19:D19)</f>
        <v>7950.79</v>
      </c>
      <c r="F19" s="165">
        <f>E19/110525</f>
        <v>7.1936575435421854E-2</v>
      </c>
      <c r="G19" s="165">
        <v>9084.8700000000008</v>
      </c>
      <c r="H19" s="165">
        <v>2350.81</v>
      </c>
      <c r="I19" s="166">
        <v>871.07</v>
      </c>
      <c r="J19" s="165">
        <v>39.020000000000003</v>
      </c>
      <c r="K19" s="165">
        <v>70.5</v>
      </c>
      <c r="L19" s="166">
        <v>0</v>
      </c>
      <c r="M19" s="165">
        <v>657.97</v>
      </c>
      <c r="N19" s="165">
        <f>SUM(G19:M19)</f>
        <v>13074.24</v>
      </c>
      <c r="O19" s="165">
        <f>N19/110525</f>
        <v>0.11829215109703686</v>
      </c>
      <c r="P19" s="165">
        <f>E19+N19</f>
        <v>21025.03</v>
      </c>
      <c r="Q19" s="167" t="s">
        <v>102</v>
      </c>
      <c r="R19" s="168">
        <f>P19/127811</f>
        <v>0.16450094279835067</v>
      </c>
    </row>
    <row r="20" spans="1:18" ht="30" customHeight="1" thickBot="1" x14ac:dyDescent="0.25">
      <c r="A20" s="97" t="s">
        <v>103</v>
      </c>
      <c r="B20" s="169">
        <v>0</v>
      </c>
      <c r="C20" s="169">
        <v>52.07</v>
      </c>
      <c r="D20" s="169">
        <v>0</v>
      </c>
      <c r="E20" s="170">
        <f t="shared" ref="E20" si="0">B20+C20+D20</f>
        <v>52.07</v>
      </c>
      <c r="F20" s="171">
        <f>E20/40</f>
        <v>1.30175</v>
      </c>
      <c r="G20" s="169">
        <v>0</v>
      </c>
      <c r="H20" s="169">
        <v>0</v>
      </c>
      <c r="I20" s="169">
        <v>0</v>
      </c>
      <c r="J20" s="169">
        <v>0</v>
      </c>
      <c r="K20" s="169">
        <v>0</v>
      </c>
      <c r="L20" s="169">
        <v>0</v>
      </c>
      <c r="M20" s="172">
        <v>0</v>
      </c>
      <c r="N20" s="169">
        <f>SUM(G20:M20)</f>
        <v>0</v>
      </c>
      <c r="O20" s="173">
        <f>N20/40*100</f>
        <v>0</v>
      </c>
      <c r="P20" s="174">
        <f>E20+N20</f>
        <v>52.07</v>
      </c>
      <c r="Q20" s="175" t="s">
        <v>104</v>
      </c>
      <c r="R20" s="176">
        <f>P20/50</f>
        <v>1.0414000000000001</v>
      </c>
    </row>
    <row r="21" spans="1:18" ht="15" thickBot="1" x14ac:dyDescent="0.25">
      <c r="A21" s="177" t="s">
        <v>9</v>
      </c>
      <c r="B21" s="178">
        <f>SUM(B19:B20)</f>
        <v>7843.83</v>
      </c>
      <c r="C21" s="88">
        <f>SUM(C19:C20)</f>
        <v>110.21000000000001</v>
      </c>
      <c r="D21" s="88">
        <f>SUM(D19:D20)</f>
        <v>48.82</v>
      </c>
      <c r="E21" s="88">
        <f>SUM(E19:E20)</f>
        <v>8002.86</v>
      </c>
      <c r="F21" s="87" t="s">
        <v>105</v>
      </c>
      <c r="G21" s="88">
        <f>SUM(G19:G20)</f>
        <v>9084.8700000000008</v>
      </c>
      <c r="H21" s="88">
        <f>SUM(H19:H20)</f>
        <v>2350.81</v>
      </c>
      <c r="I21" s="89">
        <f t="shared" ref="I21" si="1">SUM(I19:I20)</f>
        <v>871.07</v>
      </c>
      <c r="J21" s="89">
        <f>SUM(J19:J20)</f>
        <v>39.020000000000003</v>
      </c>
      <c r="K21" s="88">
        <f>SUM(K19:K20)</f>
        <v>70.5</v>
      </c>
      <c r="L21" s="89">
        <f>SUM(L19:L20)</f>
        <v>0</v>
      </c>
      <c r="M21" s="88">
        <f>SUM(M19:M20)</f>
        <v>657.97</v>
      </c>
      <c r="N21" s="88">
        <f>SUM(N19:N20)</f>
        <v>13074.24</v>
      </c>
      <c r="O21" s="87" t="s">
        <v>105</v>
      </c>
      <c r="P21" s="86">
        <f>SUM(P19:P20)</f>
        <v>21077.1</v>
      </c>
      <c r="Q21" s="85">
        <f>SUM(Q19:Q20)</f>
        <v>0</v>
      </c>
      <c r="R21" s="179" t="s">
        <v>105</v>
      </c>
    </row>
    <row r="22" spans="1:18" x14ac:dyDescent="0.2">
      <c r="A22" s="83"/>
    </row>
    <row r="23" spans="1:18" x14ac:dyDescent="0.2">
      <c r="A23" s="83" t="s">
        <v>70</v>
      </c>
      <c r="P23" s="180"/>
    </row>
    <row r="24" spans="1:18" x14ac:dyDescent="0.2">
      <c r="A24" s="83" t="s">
        <v>69</v>
      </c>
    </row>
    <row r="25" spans="1:18" x14ac:dyDescent="0.2">
      <c r="A25" s="83" t="s">
        <v>68</v>
      </c>
      <c r="P25" s="181"/>
    </row>
    <row r="26" spans="1:18" x14ac:dyDescent="0.2">
      <c r="A26" s="83" t="s">
        <v>67</v>
      </c>
    </row>
    <row r="27" spans="1:18" x14ac:dyDescent="0.2">
      <c r="A27" s="83" t="s">
        <v>66</v>
      </c>
    </row>
    <row r="28" spans="1:18" x14ac:dyDescent="0.2">
      <c r="A28" s="83"/>
    </row>
    <row r="29" spans="1:18" x14ac:dyDescent="0.2">
      <c r="B29" s="182"/>
    </row>
  </sheetData>
  <mergeCells count="22">
    <mergeCell ref="L14:L15"/>
    <mergeCell ref="G14:G15"/>
    <mergeCell ref="H14:H15"/>
    <mergeCell ref="I14:I15"/>
    <mergeCell ref="J14:J15"/>
    <mergeCell ref="K14:K15"/>
    <mergeCell ref="M14:M15"/>
    <mergeCell ref="O4:R4"/>
    <mergeCell ref="O5:R5"/>
    <mergeCell ref="O6:S6"/>
    <mergeCell ref="A8:R8"/>
    <mergeCell ref="A10:R10"/>
    <mergeCell ref="A13:A15"/>
    <mergeCell ref="B13:F13"/>
    <mergeCell ref="G13:O13"/>
    <mergeCell ref="Q13:Q15"/>
    <mergeCell ref="R13:R15"/>
    <mergeCell ref="N14:O15"/>
    <mergeCell ref="B14:B15"/>
    <mergeCell ref="C14:C15"/>
    <mergeCell ref="D14:D15"/>
    <mergeCell ref="E14:F15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headerFooter>
    <oddHeader>&amp;C5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33"/>
  <sheetViews>
    <sheetView view="pageLayout" zoomScaleNormal="90" workbookViewId="0">
      <selection activeCell="C6" sqref="C6"/>
    </sheetView>
  </sheetViews>
  <sheetFormatPr defaultColWidth="9.140625" defaultRowHeight="14.25" x14ac:dyDescent="0.2"/>
  <cols>
    <col min="1" max="1" width="36.85546875" style="81" customWidth="1"/>
    <col min="2" max="3" width="10.85546875" style="81" customWidth="1"/>
    <col min="4" max="4" width="9.140625" style="81"/>
    <col min="5" max="5" width="11.42578125" style="81" customWidth="1"/>
    <col min="6" max="6" width="9.140625" style="81"/>
    <col min="7" max="9" width="10.5703125" style="81" customWidth="1"/>
    <col min="10" max="10" width="10.42578125" style="81" customWidth="1"/>
    <col min="11" max="11" width="9.140625" style="81"/>
    <col min="12" max="12" width="10.7109375" style="81" customWidth="1"/>
    <col min="13" max="13" width="9.140625" style="81"/>
    <col min="14" max="14" width="10.5703125" style="81" customWidth="1"/>
    <col min="15" max="15" width="8.85546875" style="81" customWidth="1"/>
    <col min="16" max="16" width="12.85546875" style="81" customWidth="1"/>
    <col min="17" max="18" width="11.140625" style="81" customWidth="1"/>
    <col min="19" max="16384" width="9.140625" style="81"/>
  </cols>
  <sheetData>
    <row r="1" spans="1:24" ht="33" x14ac:dyDescent="0.45">
      <c r="A1" s="300"/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119"/>
      <c r="W1" s="119"/>
      <c r="X1" s="119"/>
    </row>
    <row r="3" spans="1:24" ht="17.25" customHeight="1" x14ac:dyDescent="0.25">
      <c r="K3" s="115"/>
      <c r="L3" s="115"/>
      <c r="M3" s="115"/>
      <c r="N3" s="115"/>
      <c r="O3" s="118" t="s">
        <v>106</v>
      </c>
      <c r="P3" s="118"/>
      <c r="Q3" s="118"/>
      <c r="R3" s="118"/>
    </row>
    <row r="4" spans="1:24" ht="17.25" customHeight="1" x14ac:dyDescent="0.25">
      <c r="K4" s="115"/>
      <c r="L4" s="115"/>
      <c r="M4" s="115"/>
      <c r="N4" s="115"/>
      <c r="O4" s="232" t="s">
        <v>82</v>
      </c>
      <c r="P4" s="232"/>
      <c r="Q4" s="232"/>
      <c r="R4" s="232"/>
    </row>
    <row r="5" spans="1:24" ht="17.25" customHeight="1" x14ac:dyDescent="0.25">
      <c r="K5" s="117"/>
      <c r="L5" s="117"/>
      <c r="M5" s="117"/>
      <c r="N5" s="117"/>
      <c r="O5" s="232" t="s">
        <v>81</v>
      </c>
      <c r="P5" s="232"/>
      <c r="Q5" s="232"/>
      <c r="R5" s="232"/>
    </row>
    <row r="6" spans="1:24" ht="17.25" customHeight="1" x14ac:dyDescent="0.25">
      <c r="K6" s="116"/>
      <c r="L6" s="115"/>
      <c r="M6" s="115"/>
      <c r="N6" s="115"/>
      <c r="O6" s="233" t="s">
        <v>83</v>
      </c>
      <c r="P6" s="233"/>
      <c r="Q6" s="233"/>
      <c r="R6" s="233"/>
      <c r="S6" s="233"/>
    </row>
    <row r="9" spans="1:24" ht="18" x14ac:dyDescent="0.25">
      <c r="A9" s="274" t="s">
        <v>80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</row>
    <row r="10" spans="1:24" ht="15" x14ac:dyDescent="0.2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</row>
    <row r="11" spans="1:24" ht="30" customHeight="1" x14ac:dyDescent="0.2">
      <c r="A11" s="275" t="s">
        <v>79</v>
      </c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</row>
    <row r="13" spans="1:24" ht="15" thickBot="1" x14ac:dyDescent="0.25"/>
    <row r="14" spans="1:24" ht="68.25" customHeight="1" thickBot="1" x14ac:dyDescent="0.25">
      <c r="A14" s="276" t="s">
        <v>0</v>
      </c>
      <c r="B14" s="278" t="s">
        <v>15</v>
      </c>
      <c r="C14" s="279"/>
      <c r="D14" s="279"/>
      <c r="E14" s="279"/>
      <c r="F14" s="279"/>
      <c r="G14" s="280" t="s">
        <v>16</v>
      </c>
      <c r="H14" s="281"/>
      <c r="I14" s="281"/>
      <c r="J14" s="281"/>
      <c r="K14" s="281"/>
      <c r="L14" s="281"/>
      <c r="M14" s="281"/>
      <c r="N14" s="281"/>
      <c r="O14" s="282"/>
      <c r="P14" s="113" t="s">
        <v>1</v>
      </c>
      <c r="Q14" s="283" t="s">
        <v>2</v>
      </c>
      <c r="R14" s="286" t="s">
        <v>78</v>
      </c>
    </row>
    <row r="15" spans="1:24" ht="22.5" customHeight="1" x14ac:dyDescent="0.2">
      <c r="A15" s="277"/>
      <c r="B15" s="292" t="s">
        <v>77</v>
      </c>
      <c r="C15" s="292" t="s">
        <v>4</v>
      </c>
      <c r="D15" s="292" t="s">
        <v>5</v>
      </c>
      <c r="E15" s="294" t="s">
        <v>76</v>
      </c>
      <c r="F15" s="295"/>
      <c r="G15" s="284" t="s">
        <v>75</v>
      </c>
      <c r="H15" s="293" t="s">
        <v>14</v>
      </c>
      <c r="I15" s="293" t="s">
        <v>18</v>
      </c>
      <c r="J15" s="293" t="s">
        <v>19</v>
      </c>
      <c r="K15" s="284" t="s">
        <v>20</v>
      </c>
      <c r="L15" s="297" t="s">
        <v>21</v>
      </c>
      <c r="M15" s="272" t="s">
        <v>22</v>
      </c>
      <c r="N15" s="288" t="s">
        <v>74</v>
      </c>
      <c r="O15" s="289"/>
      <c r="P15" s="112" t="s">
        <v>24</v>
      </c>
      <c r="Q15" s="284"/>
      <c r="R15" s="287"/>
    </row>
    <row r="16" spans="1:24" ht="82.9" customHeight="1" thickBot="1" x14ac:dyDescent="0.25">
      <c r="A16" s="277"/>
      <c r="B16" s="293"/>
      <c r="C16" s="293"/>
      <c r="D16" s="293"/>
      <c r="E16" s="284"/>
      <c r="F16" s="296"/>
      <c r="G16" s="284"/>
      <c r="H16" s="293"/>
      <c r="I16" s="293"/>
      <c r="J16" s="293"/>
      <c r="K16" s="284"/>
      <c r="L16" s="298"/>
      <c r="M16" s="273"/>
      <c r="N16" s="290"/>
      <c r="O16" s="291"/>
      <c r="P16" s="111"/>
      <c r="Q16" s="285"/>
      <c r="R16" s="287"/>
    </row>
    <row r="17" spans="1:18" ht="37.5" customHeight="1" thickBot="1" x14ac:dyDescent="0.25">
      <c r="A17" s="110"/>
      <c r="B17" s="109" t="s">
        <v>10</v>
      </c>
      <c r="C17" s="109" t="s">
        <v>10</v>
      </c>
      <c r="D17" s="109" t="s">
        <v>10</v>
      </c>
      <c r="E17" s="109" t="s">
        <v>10</v>
      </c>
      <c r="F17" s="106" t="s">
        <v>73</v>
      </c>
      <c r="G17" s="109" t="s">
        <v>10</v>
      </c>
      <c r="H17" s="109" t="s">
        <v>10</v>
      </c>
      <c r="I17" s="109" t="s">
        <v>10</v>
      </c>
      <c r="J17" s="109" t="s">
        <v>10</v>
      </c>
      <c r="K17" s="109" t="s">
        <v>10</v>
      </c>
      <c r="L17" s="109" t="s">
        <v>10</v>
      </c>
      <c r="M17" s="109" t="s">
        <v>10</v>
      </c>
      <c r="N17" s="109" t="s">
        <v>10</v>
      </c>
      <c r="O17" s="106" t="s">
        <v>72</v>
      </c>
      <c r="P17" s="108" t="s">
        <v>10</v>
      </c>
      <c r="Q17" s="107" t="s">
        <v>26</v>
      </c>
      <c r="R17" s="106" t="s">
        <v>27</v>
      </c>
    </row>
    <row r="18" spans="1:18" ht="19.5" customHeight="1" thickBot="1" x14ac:dyDescent="0.25">
      <c r="A18" s="105">
        <v>1</v>
      </c>
      <c r="B18" s="105">
        <v>2</v>
      </c>
      <c r="C18" s="105">
        <v>3</v>
      </c>
      <c r="D18" s="105">
        <v>4</v>
      </c>
      <c r="E18" s="105">
        <v>5</v>
      </c>
      <c r="F18" s="105">
        <v>6</v>
      </c>
      <c r="G18" s="105">
        <v>7</v>
      </c>
      <c r="H18" s="105">
        <v>8</v>
      </c>
      <c r="I18" s="105">
        <v>9</v>
      </c>
      <c r="J18" s="105">
        <v>10</v>
      </c>
      <c r="K18" s="105">
        <v>11</v>
      </c>
      <c r="L18" s="105">
        <v>12</v>
      </c>
      <c r="M18" s="105">
        <v>13</v>
      </c>
      <c r="N18" s="105">
        <v>14</v>
      </c>
      <c r="O18" s="105">
        <v>15</v>
      </c>
      <c r="P18" s="105">
        <v>16</v>
      </c>
      <c r="Q18" s="104">
        <v>17</v>
      </c>
      <c r="R18" s="103">
        <v>18</v>
      </c>
    </row>
    <row r="19" spans="1:18" ht="16.5" customHeight="1" x14ac:dyDescent="0.2">
      <c r="A19" s="102" t="s">
        <v>8</v>
      </c>
      <c r="B19" s="101"/>
      <c r="C19" s="101"/>
      <c r="D19" s="101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99"/>
      <c r="R19" s="98"/>
    </row>
    <row r="20" spans="1:18" ht="39" thickBot="1" x14ac:dyDescent="0.25">
      <c r="A20" s="97" t="s">
        <v>71</v>
      </c>
      <c r="B20" s="93">
        <v>6523.96</v>
      </c>
      <c r="C20" s="93">
        <v>861.38</v>
      </c>
      <c r="D20" s="93">
        <v>11</v>
      </c>
      <c r="E20" s="96">
        <f>B20+C20+D20</f>
        <v>7396.34</v>
      </c>
      <c r="F20" s="94">
        <f>E20/Q20</f>
        <v>0.2509275342651649</v>
      </c>
      <c r="G20" s="93">
        <v>7072.34</v>
      </c>
      <c r="H20" s="93">
        <v>493.45</v>
      </c>
      <c r="I20" s="95">
        <v>309.87</v>
      </c>
      <c r="J20" s="93">
        <v>144</v>
      </c>
      <c r="K20" s="93">
        <v>103.58</v>
      </c>
      <c r="L20" s="95">
        <v>0</v>
      </c>
      <c r="M20" s="93">
        <v>603.57000000000005</v>
      </c>
      <c r="N20" s="93">
        <f>SUM(G20:M20)</f>
        <v>8726.81</v>
      </c>
      <c r="O20" s="94">
        <f>N20/Q20</f>
        <v>0.29606493418374269</v>
      </c>
      <c r="P20" s="93">
        <f>E20+N20</f>
        <v>16123.15</v>
      </c>
      <c r="Q20" s="92">
        <v>29476</v>
      </c>
      <c r="R20" s="91">
        <f>P20/Q20</f>
        <v>0.54699246844890759</v>
      </c>
    </row>
    <row r="21" spans="1:18" ht="15" thickBot="1" x14ac:dyDescent="0.25">
      <c r="A21" s="90" t="s">
        <v>9</v>
      </c>
      <c r="B21" s="88">
        <f>SUM(B20:B20)</f>
        <v>6523.96</v>
      </c>
      <c r="C21" s="88">
        <f>SUM(C20:C20)</f>
        <v>861.38</v>
      </c>
      <c r="D21" s="88">
        <f>SUM(D20:D20)</f>
        <v>11</v>
      </c>
      <c r="E21" s="88">
        <f>SUM(E20:E20)</f>
        <v>7396.34</v>
      </c>
      <c r="F21" s="87">
        <f>E21/Q21</f>
        <v>0.2509275342651649</v>
      </c>
      <c r="G21" s="88">
        <f t="shared" ref="G21:N21" si="0">SUM(G20:G20)</f>
        <v>7072.34</v>
      </c>
      <c r="H21" s="88">
        <f t="shared" si="0"/>
        <v>493.45</v>
      </c>
      <c r="I21" s="89">
        <f t="shared" si="0"/>
        <v>309.87</v>
      </c>
      <c r="J21" s="89">
        <f t="shared" si="0"/>
        <v>144</v>
      </c>
      <c r="K21" s="88">
        <f t="shared" si="0"/>
        <v>103.58</v>
      </c>
      <c r="L21" s="89">
        <f t="shared" si="0"/>
        <v>0</v>
      </c>
      <c r="M21" s="88">
        <f t="shared" si="0"/>
        <v>603.57000000000005</v>
      </c>
      <c r="N21" s="88">
        <f t="shared" si="0"/>
        <v>8726.81</v>
      </c>
      <c r="O21" s="87">
        <f>N21/Q21</f>
        <v>0.29606493418374269</v>
      </c>
      <c r="P21" s="86">
        <f>SUM(P20:P20)</f>
        <v>16123.15</v>
      </c>
      <c r="Q21" s="85">
        <f>SUM(Q20:Q20)</f>
        <v>29476</v>
      </c>
      <c r="R21" s="84">
        <f>SUM(R20:R20)</f>
        <v>0.54699246844890759</v>
      </c>
    </row>
    <row r="22" spans="1:18" x14ac:dyDescent="0.2">
      <c r="A22" s="83"/>
    </row>
    <row r="23" spans="1:18" x14ac:dyDescent="0.2">
      <c r="A23" s="83" t="s">
        <v>70</v>
      </c>
    </row>
    <row r="24" spans="1:18" x14ac:dyDescent="0.2">
      <c r="A24" s="83" t="s">
        <v>69</v>
      </c>
    </row>
    <row r="25" spans="1:18" x14ac:dyDescent="0.2">
      <c r="A25" s="83" t="s">
        <v>68</v>
      </c>
    </row>
    <row r="26" spans="1:18" x14ac:dyDescent="0.2">
      <c r="A26" s="83" t="s">
        <v>67</v>
      </c>
    </row>
    <row r="27" spans="1:18" x14ac:dyDescent="0.2">
      <c r="A27" s="83" t="s">
        <v>66</v>
      </c>
    </row>
    <row r="28" spans="1:18" x14ac:dyDescent="0.2">
      <c r="A28" s="83"/>
    </row>
    <row r="30" spans="1:18" ht="15.75" x14ac:dyDescent="0.2">
      <c r="A30" s="82"/>
      <c r="B30" s="299"/>
      <c r="C30" s="299"/>
    </row>
    <row r="31" spans="1:18" ht="15.75" x14ac:dyDescent="0.2">
      <c r="A31" s="82"/>
      <c r="B31" s="82"/>
      <c r="C31" s="82"/>
    </row>
    <row r="32" spans="1:18" ht="15.75" x14ac:dyDescent="0.2">
      <c r="A32" s="82"/>
      <c r="B32" s="82"/>
      <c r="C32" s="82"/>
    </row>
    <row r="33" spans="1:3" ht="15.75" x14ac:dyDescent="0.2">
      <c r="A33" s="82"/>
      <c r="B33" s="299"/>
      <c r="C33" s="299"/>
    </row>
  </sheetData>
  <mergeCells count="25">
    <mergeCell ref="L15:L16"/>
    <mergeCell ref="M15:M16"/>
    <mergeCell ref="N15:O16"/>
    <mergeCell ref="R14:R16"/>
    <mergeCell ref="B30:C30"/>
    <mergeCell ref="C15:C16"/>
    <mergeCell ref="D15:D16"/>
    <mergeCell ref="E15:F16"/>
    <mergeCell ref="G15:G16"/>
    <mergeCell ref="B33:C33"/>
    <mergeCell ref="O4:R4"/>
    <mergeCell ref="O5:R5"/>
    <mergeCell ref="A1:U1"/>
    <mergeCell ref="A14:A16"/>
    <mergeCell ref="B14:F14"/>
    <mergeCell ref="K15:K16"/>
    <mergeCell ref="A11:R11"/>
    <mergeCell ref="A9:R9"/>
    <mergeCell ref="H15:H16"/>
    <mergeCell ref="O6:S6"/>
    <mergeCell ref="I15:I16"/>
    <mergeCell ref="J15:J16"/>
    <mergeCell ref="Q14:Q16"/>
    <mergeCell ref="G14:O14"/>
    <mergeCell ref="B15:B16"/>
  </mergeCells>
  <pageMargins left="0.78740157480314965" right="0.78740157480314965" top="0.39370078740157483" bottom="0.39370078740157483" header="0.31496062992125984" footer="0.31496062992125984"/>
  <pageSetup paperSize="9" scale="60" orientation="landscape" r:id="rId1"/>
  <headerFooter>
    <oddHeader>&amp;C6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33"/>
  <sheetViews>
    <sheetView topLeftCell="A30" workbookViewId="0">
      <selection activeCell="I7" sqref="I7"/>
    </sheetView>
  </sheetViews>
  <sheetFormatPr defaultColWidth="8.85546875" defaultRowHeight="15.75" x14ac:dyDescent="0.25"/>
  <cols>
    <col min="1" max="1" width="42.28515625" style="122" customWidth="1"/>
    <col min="2" max="2" width="13" style="122" customWidth="1"/>
    <col min="3" max="3" width="14.28515625" style="122" customWidth="1"/>
    <col min="4" max="4" width="12.28515625" style="122" customWidth="1"/>
    <col min="5" max="5" width="10.7109375" style="122" customWidth="1"/>
    <col min="6" max="6" width="10.85546875" style="122" customWidth="1"/>
    <col min="7" max="7" width="12.42578125" style="122" customWidth="1"/>
    <col min="8" max="8" width="10.42578125" style="122" customWidth="1"/>
    <col min="9" max="9" width="11.42578125" style="122" customWidth="1"/>
    <col min="10" max="11" width="14.28515625" style="122" customWidth="1"/>
    <col min="12" max="12" width="13" style="122" customWidth="1"/>
    <col min="13" max="13" width="12.7109375" style="122" customWidth="1"/>
    <col min="14" max="14" width="11.28515625" style="122" customWidth="1"/>
    <col min="15" max="15" width="14.5703125" style="122" customWidth="1"/>
    <col min="16" max="16" width="14.42578125" style="122" customWidth="1"/>
    <col min="17" max="17" width="14.140625" style="122" customWidth="1"/>
    <col min="18" max="18" width="17.28515625" style="122" customWidth="1"/>
    <col min="19" max="16384" width="8.85546875" style="122"/>
  </cols>
  <sheetData>
    <row r="1" spans="1:24" hidden="1" x14ac:dyDescent="0.25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  <row r="2" spans="1:24" hidden="1" x14ac:dyDescent="0.25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</row>
    <row r="3" spans="1:24" s="81" customFormat="1" ht="33" x14ac:dyDescent="0.45">
      <c r="A3" s="300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119"/>
      <c r="W3" s="119"/>
      <c r="X3" s="119"/>
    </row>
    <row r="4" spans="1:24" s="81" customFormat="1" ht="14.25" x14ac:dyDescent="0.2"/>
    <row r="5" spans="1:24" s="81" customFormat="1" ht="17.25" customHeight="1" x14ac:dyDescent="0.25">
      <c r="K5" s="115"/>
      <c r="L5" s="115"/>
      <c r="M5" s="115"/>
      <c r="N5" s="115"/>
      <c r="O5" s="120" t="s">
        <v>106</v>
      </c>
      <c r="P5" s="120"/>
      <c r="Q5" s="120"/>
      <c r="R5" s="120"/>
    </row>
    <row r="6" spans="1:24" s="81" customFormat="1" ht="17.25" customHeight="1" x14ac:dyDescent="0.25">
      <c r="K6" s="115"/>
      <c r="L6" s="115"/>
      <c r="M6" s="115"/>
      <c r="N6" s="115"/>
      <c r="O6" s="232" t="s">
        <v>82</v>
      </c>
      <c r="P6" s="232"/>
      <c r="Q6" s="232"/>
      <c r="R6" s="232"/>
    </row>
    <row r="7" spans="1:24" s="81" customFormat="1" ht="17.25" customHeight="1" x14ac:dyDescent="0.25">
      <c r="K7" s="117"/>
      <c r="L7" s="117"/>
      <c r="M7" s="117"/>
      <c r="N7" s="117"/>
      <c r="O7" s="232" t="s">
        <v>81</v>
      </c>
      <c r="P7" s="232"/>
      <c r="Q7" s="232"/>
      <c r="R7" s="232"/>
    </row>
    <row r="8" spans="1:24" s="81" customFormat="1" ht="17.25" customHeight="1" x14ac:dyDescent="0.25">
      <c r="K8" s="116"/>
      <c r="L8" s="115"/>
      <c r="M8" s="115"/>
      <c r="N8" s="115"/>
      <c r="O8" s="233" t="s">
        <v>83</v>
      </c>
      <c r="P8" s="233"/>
      <c r="Q8" s="233"/>
      <c r="R8" s="233"/>
      <c r="S8" s="233"/>
    </row>
    <row r="9" spans="1:24" s="81" customFormat="1" ht="14.25" x14ac:dyDescent="0.2"/>
    <row r="10" spans="1:24" ht="48.75" customHeight="1" x14ac:dyDescent="0.25">
      <c r="A10" s="308" t="s">
        <v>84</v>
      </c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</row>
    <row r="11" spans="1:24" hidden="1" x14ac:dyDescent="0.25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</row>
    <row r="12" spans="1:24" ht="38.450000000000003" customHeight="1" thickBot="1" x14ac:dyDescent="0.3">
      <c r="A12" s="310" t="s">
        <v>85</v>
      </c>
      <c r="B12" s="310"/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</row>
    <row r="13" spans="1:24" ht="13.15" hidden="1" customHeight="1" x14ac:dyDescent="0.25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</row>
    <row r="14" spans="1:24" ht="16.5" hidden="1" thickBot="1" x14ac:dyDescent="0.3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</row>
    <row r="15" spans="1:24" ht="103.5" customHeight="1" thickBot="1" x14ac:dyDescent="0.3">
      <c r="A15" s="311" t="s">
        <v>0</v>
      </c>
      <c r="B15" s="312" t="s">
        <v>15</v>
      </c>
      <c r="C15" s="313"/>
      <c r="D15" s="313"/>
      <c r="E15" s="313"/>
      <c r="F15" s="313"/>
      <c r="G15" s="314" t="s">
        <v>16</v>
      </c>
      <c r="H15" s="315"/>
      <c r="I15" s="315"/>
      <c r="J15" s="315"/>
      <c r="K15" s="315"/>
      <c r="L15" s="315"/>
      <c r="M15" s="315"/>
      <c r="N15" s="315"/>
      <c r="O15" s="316"/>
      <c r="P15" s="123" t="s">
        <v>1</v>
      </c>
      <c r="Q15" s="302" t="s">
        <v>2</v>
      </c>
      <c r="R15" s="317" t="s">
        <v>41</v>
      </c>
    </row>
    <row r="16" spans="1:24" ht="56.45" customHeight="1" x14ac:dyDescent="0.25">
      <c r="A16" s="306"/>
      <c r="B16" s="311" t="s">
        <v>42</v>
      </c>
      <c r="C16" s="311" t="s">
        <v>4</v>
      </c>
      <c r="D16" s="311" t="s">
        <v>5</v>
      </c>
      <c r="E16" s="302" t="s">
        <v>86</v>
      </c>
      <c r="F16" s="303"/>
      <c r="G16" s="306" t="s">
        <v>44</v>
      </c>
      <c r="H16" s="304" t="s">
        <v>14</v>
      </c>
      <c r="I16" s="306" t="s">
        <v>18</v>
      </c>
      <c r="J16" s="306" t="s">
        <v>45</v>
      </c>
      <c r="K16" s="306" t="s">
        <v>20</v>
      </c>
      <c r="L16" s="306" t="s">
        <v>21</v>
      </c>
      <c r="M16" s="304" t="s">
        <v>46</v>
      </c>
      <c r="N16" s="320" t="s">
        <v>87</v>
      </c>
      <c r="O16" s="321"/>
      <c r="P16" s="124" t="s">
        <v>24</v>
      </c>
      <c r="Q16" s="304"/>
      <c r="R16" s="318"/>
    </row>
    <row r="17" spans="1:20" ht="102.6" customHeight="1" thickBot="1" x14ac:dyDescent="0.3">
      <c r="A17" s="306"/>
      <c r="B17" s="306"/>
      <c r="C17" s="306"/>
      <c r="D17" s="306"/>
      <c r="E17" s="304"/>
      <c r="F17" s="305"/>
      <c r="G17" s="306"/>
      <c r="H17" s="304"/>
      <c r="I17" s="307"/>
      <c r="J17" s="307"/>
      <c r="K17" s="306"/>
      <c r="L17" s="306"/>
      <c r="M17" s="304"/>
      <c r="N17" s="322"/>
      <c r="O17" s="323"/>
      <c r="P17" s="125"/>
      <c r="Q17" s="304"/>
      <c r="R17" s="319"/>
    </row>
    <row r="18" spans="1:20" ht="33.75" customHeight="1" thickBot="1" x14ac:dyDescent="0.3">
      <c r="A18" s="126"/>
      <c r="B18" s="127" t="s">
        <v>10</v>
      </c>
      <c r="C18" s="127" t="s">
        <v>10</v>
      </c>
      <c r="D18" s="127" t="s">
        <v>10</v>
      </c>
      <c r="E18" s="127" t="s">
        <v>10</v>
      </c>
      <c r="F18" s="128" t="s">
        <v>28</v>
      </c>
      <c r="G18" s="127" t="s">
        <v>10</v>
      </c>
      <c r="H18" s="127" t="s">
        <v>10</v>
      </c>
      <c r="I18" s="127" t="s">
        <v>10</v>
      </c>
      <c r="J18" s="127" t="s">
        <v>10</v>
      </c>
      <c r="K18" s="127" t="s">
        <v>10</v>
      </c>
      <c r="L18" s="127" t="s">
        <v>10</v>
      </c>
      <c r="M18" s="127" t="s">
        <v>10</v>
      </c>
      <c r="N18" s="127" t="s">
        <v>10</v>
      </c>
      <c r="O18" s="128" t="s">
        <v>29</v>
      </c>
      <c r="P18" s="127" t="s">
        <v>10</v>
      </c>
      <c r="Q18" s="129" t="s">
        <v>47</v>
      </c>
      <c r="R18" s="130" t="s">
        <v>48</v>
      </c>
    </row>
    <row r="19" spans="1:20" ht="19.7" customHeight="1" thickBot="1" x14ac:dyDescent="0.3">
      <c r="A19" s="131">
        <v>1</v>
      </c>
      <c r="B19" s="131">
        <v>2</v>
      </c>
      <c r="C19" s="131">
        <v>3</v>
      </c>
      <c r="D19" s="131">
        <v>4</v>
      </c>
      <c r="E19" s="131">
        <v>5</v>
      </c>
      <c r="F19" s="131">
        <v>6</v>
      </c>
      <c r="G19" s="131">
        <v>7</v>
      </c>
      <c r="H19" s="131">
        <v>8</v>
      </c>
      <c r="I19" s="131">
        <v>9</v>
      </c>
      <c r="J19" s="131">
        <v>10</v>
      </c>
      <c r="K19" s="131">
        <v>11</v>
      </c>
      <c r="L19" s="131">
        <v>12</v>
      </c>
      <c r="M19" s="131">
        <v>13</v>
      </c>
      <c r="N19" s="131">
        <v>14</v>
      </c>
      <c r="O19" s="131">
        <v>15</v>
      </c>
      <c r="P19" s="131">
        <v>16</v>
      </c>
      <c r="Q19" s="131">
        <v>17</v>
      </c>
      <c r="R19" s="132">
        <v>18</v>
      </c>
    </row>
    <row r="20" spans="1:20" ht="16.5" customHeight="1" x14ac:dyDescent="0.25">
      <c r="A20" s="133" t="s">
        <v>8</v>
      </c>
      <c r="B20" s="134"/>
      <c r="C20" s="134"/>
      <c r="D20" s="134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</row>
    <row r="21" spans="1:20" ht="60.6" customHeight="1" x14ac:dyDescent="0.25">
      <c r="A21" s="136" t="s">
        <v>88</v>
      </c>
      <c r="B21" s="137">
        <v>9337</v>
      </c>
      <c r="C21" s="138">
        <v>60</v>
      </c>
      <c r="D21" s="137">
        <v>0</v>
      </c>
      <c r="E21" s="139">
        <f>SUM(B21:D21)</f>
        <v>9397</v>
      </c>
      <c r="F21" s="140">
        <f t="shared" ref="F21:F27" si="0">E21/Q21</f>
        <v>469.85</v>
      </c>
      <c r="G21" s="141">
        <v>0</v>
      </c>
      <c r="H21" s="137">
        <v>21.14</v>
      </c>
      <c r="I21" s="137">
        <v>0</v>
      </c>
      <c r="J21" s="137">
        <v>0</v>
      </c>
      <c r="K21" s="137">
        <v>1.7</v>
      </c>
      <c r="L21" s="137">
        <v>0</v>
      </c>
      <c r="M21" s="137">
        <v>3.05</v>
      </c>
      <c r="N21" s="138">
        <f>SUM(G21:M21)</f>
        <v>25.89</v>
      </c>
      <c r="O21" s="142">
        <f>N21/Q21</f>
        <v>1.2945</v>
      </c>
      <c r="P21" s="137">
        <f t="shared" ref="P21:P26" si="1">E21+N21</f>
        <v>9422.89</v>
      </c>
      <c r="Q21" s="143">
        <v>20</v>
      </c>
      <c r="R21" s="137">
        <f>P21/Q21</f>
        <v>471.14449999999999</v>
      </c>
      <c r="S21" s="144"/>
      <c r="T21" s="144"/>
    </row>
    <row r="22" spans="1:20" ht="39.6" customHeight="1" x14ac:dyDescent="0.25">
      <c r="A22" s="145" t="s">
        <v>89</v>
      </c>
      <c r="B22" s="137">
        <v>4118.8999999999996</v>
      </c>
      <c r="C22" s="137">
        <v>155.38</v>
      </c>
      <c r="D22" s="137">
        <v>364.64</v>
      </c>
      <c r="E22" s="139">
        <f t="shared" ref="E22:E26" si="2">SUM(B22:D22)</f>
        <v>4638.92</v>
      </c>
      <c r="F22" s="140">
        <f t="shared" si="0"/>
        <v>84.344000000000008</v>
      </c>
      <c r="G22" s="146">
        <v>12763.61</v>
      </c>
      <c r="H22" s="137">
        <v>1157.06</v>
      </c>
      <c r="I22" s="137">
        <v>0</v>
      </c>
      <c r="J22" s="137">
        <v>0</v>
      </c>
      <c r="K22" s="137">
        <v>48.45</v>
      </c>
      <c r="L22" s="137">
        <v>0</v>
      </c>
      <c r="M22" s="137">
        <v>368.87</v>
      </c>
      <c r="N22" s="138">
        <f t="shared" ref="N22:N26" si="3">SUM(G22:M22)</f>
        <v>14337.990000000002</v>
      </c>
      <c r="O22" s="142">
        <f t="shared" ref="O22:O26" si="4">N22/Q22</f>
        <v>260.69072727272732</v>
      </c>
      <c r="P22" s="137">
        <f t="shared" si="1"/>
        <v>18976.910000000003</v>
      </c>
      <c r="Q22" s="143">
        <v>55</v>
      </c>
      <c r="R22" s="137">
        <f t="shared" ref="R22:R26" si="5">P22/Q22</f>
        <v>345.03472727272731</v>
      </c>
      <c r="S22" s="144"/>
      <c r="T22" s="144"/>
    </row>
    <row r="23" spans="1:20" ht="55.15" customHeight="1" x14ac:dyDescent="0.25">
      <c r="A23" s="145" t="s">
        <v>90</v>
      </c>
      <c r="B23" s="137">
        <v>929</v>
      </c>
      <c r="C23" s="137">
        <v>0</v>
      </c>
      <c r="D23" s="137">
        <v>23.7</v>
      </c>
      <c r="E23" s="139">
        <f t="shared" si="2"/>
        <v>952.7</v>
      </c>
      <c r="F23" s="140">
        <f t="shared" si="0"/>
        <v>0.1067450980392157</v>
      </c>
      <c r="G23" s="141">
        <v>0</v>
      </c>
      <c r="H23" s="137">
        <v>40.67</v>
      </c>
      <c r="I23" s="137">
        <v>0</v>
      </c>
      <c r="J23" s="137">
        <v>0</v>
      </c>
      <c r="K23" s="137">
        <v>47.55</v>
      </c>
      <c r="L23" s="137">
        <v>0</v>
      </c>
      <c r="M23" s="137">
        <v>2.5</v>
      </c>
      <c r="N23" s="138">
        <f t="shared" si="3"/>
        <v>90.72</v>
      </c>
      <c r="O23" s="140">
        <f t="shared" si="4"/>
        <v>1.016470588235294E-2</v>
      </c>
      <c r="P23" s="137">
        <f>E23+N23</f>
        <v>1043.42</v>
      </c>
      <c r="Q23" s="143">
        <v>8925</v>
      </c>
      <c r="R23" s="137">
        <f t="shared" si="5"/>
        <v>0.11690980392156863</v>
      </c>
      <c r="S23" s="144"/>
      <c r="T23" s="144"/>
    </row>
    <row r="24" spans="1:20" ht="44.45" customHeight="1" x14ac:dyDescent="0.25">
      <c r="A24" s="145" t="s">
        <v>91</v>
      </c>
      <c r="B24" s="137">
        <v>2901.9</v>
      </c>
      <c r="C24" s="137">
        <v>0</v>
      </c>
      <c r="D24" s="137">
        <v>0</v>
      </c>
      <c r="E24" s="139">
        <f t="shared" si="2"/>
        <v>2901.9</v>
      </c>
      <c r="F24" s="140">
        <f t="shared" si="0"/>
        <v>0.33516978516978518</v>
      </c>
      <c r="G24" s="141">
        <v>0</v>
      </c>
      <c r="H24" s="137">
        <v>0</v>
      </c>
      <c r="I24" s="137">
        <v>0</v>
      </c>
      <c r="J24" s="137">
        <v>0</v>
      </c>
      <c r="K24" s="137">
        <v>0</v>
      </c>
      <c r="L24" s="137">
        <v>0</v>
      </c>
      <c r="M24" s="137">
        <v>0</v>
      </c>
      <c r="N24" s="137">
        <v>0</v>
      </c>
      <c r="O24" s="140">
        <f t="shared" si="4"/>
        <v>0</v>
      </c>
      <c r="P24" s="137">
        <f t="shared" si="1"/>
        <v>2901.9</v>
      </c>
      <c r="Q24" s="143">
        <v>8658</v>
      </c>
      <c r="R24" s="137">
        <f>P24/Q24</f>
        <v>0.33516978516978518</v>
      </c>
      <c r="S24" s="144"/>
      <c r="T24" s="144"/>
    </row>
    <row r="25" spans="1:20" ht="67.5" customHeight="1" x14ac:dyDescent="0.25">
      <c r="A25" s="145" t="s">
        <v>92</v>
      </c>
      <c r="B25" s="137">
        <v>929</v>
      </c>
      <c r="C25" s="137">
        <v>0</v>
      </c>
      <c r="D25" s="137">
        <v>25.83</v>
      </c>
      <c r="E25" s="139">
        <f t="shared" si="2"/>
        <v>954.83</v>
      </c>
      <c r="F25" s="140">
        <f t="shared" si="0"/>
        <v>5.5838011695906437E-2</v>
      </c>
      <c r="G25" s="141">
        <v>0</v>
      </c>
      <c r="H25" s="137">
        <v>19.87</v>
      </c>
      <c r="I25" s="137">
        <v>0</v>
      </c>
      <c r="J25" s="137">
        <v>0</v>
      </c>
      <c r="K25" s="137">
        <v>27.15</v>
      </c>
      <c r="L25" s="137">
        <v>0</v>
      </c>
      <c r="M25" s="137">
        <v>27.79</v>
      </c>
      <c r="N25" s="138">
        <f t="shared" si="3"/>
        <v>74.81</v>
      </c>
      <c r="O25" s="140">
        <f t="shared" si="4"/>
        <v>4.3748538011695905E-3</v>
      </c>
      <c r="P25" s="137">
        <f t="shared" si="1"/>
        <v>1029.6400000000001</v>
      </c>
      <c r="Q25" s="143">
        <v>17100</v>
      </c>
      <c r="R25" s="137">
        <f t="shared" si="5"/>
        <v>6.021286549707603E-2</v>
      </c>
      <c r="S25" s="144"/>
      <c r="T25" s="144"/>
    </row>
    <row r="26" spans="1:20" ht="48.6" customHeight="1" x14ac:dyDescent="0.25">
      <c r="A26" s="147" t="s">
        <v>93</v>
      </c>
      <c r="B26" s="148">
        <v>929</v>
      </c>
      <c r="C26" s="149">
        <v>0</v>
      </c>
      <c r="D26" s="137">
        <v>25.83</v>
      </c>
      <c r="E26" s="139">
        <f t="shared" si="2"/>
        <v>954.83</v>
      </c>
      <c r="F26" s="140">
        <f>E26/Q26</f>
        <v>4.7741500000000006</v>
      </c>
      <c r="G26" s="150">
        <f>'[2]2019'!K13/1000</f>
        <v>0</v>
      </c>
      <c r="H26" s="149">
        <v>19.87</v>
      </c>
      <c r="I26" s="149">
        <v>0</v>
      </c>
      <c r="J26" s="149">
        <v>0</v>
      </c>
      <c r="K26" s="149">
        <v>27.15</v>
      </c>
      <c r="L26" s="137">
        <v>0</v>
      </c>
      <c r="M26" s="149">
        <v>27.79</v>
      </c>
      <c r="N26" s="138">
        <f t="shared" si="3"/>
        <v>74.81</v>
      </c>
      <c r="O26" s="142">
        <f t="shared" si="4"/>
        <v>0.37404999999999999</v>
      </c>
      <c r="P26" s="137">
        <f t="shared" si="1"/>
        <v>1029.6400000000001</v>
      </c>
      <c r="Q26" s="151">
        <v>200</v>
      </c>
      <c r="R26" s="137">
        <f t="shared" si="5"/>
        <v>5.1482000000000001</v>
      </c>
      <c r="S26" s="144"/>
      <c r="T26" s="144"/>
    </row>
    <row r="27" spans="1:20" ht="28.15" customHeight="1" thickBot="1" x14ac:dyDescent="0.3">
      <c r="A27" s="152" t="s">
        <v>94</v>
      </c>
      <c r="B27" s="153">
        <f>SUM(B21:B26)</f>
        <v>19144.8</v>
      </c>
      <c r="C27" s="153">
        <f>SUM(C21:C26)</f>
        <v>215.38</v>
      </c>
      <c r="D27" s="153">
        <f>SUM(D21:D26)</f>
        <v>439.99999999999994</v>
      </c>
      <c r="E27" s="154">
        <f>SUM(E21:E26)</f>
        <v>19800.180000000004</v>
      </c>
      <c r="F27" s="140">
        <f t="shared" si="0"/>
        <v>0.56639910750042921</v>
      </c>
      <c r="G27" s="153">
        <f t="shared" ref="G27:N27" si="6">SUM(G21:G26)</f>
        <v>12763.61</v>
      </c>
      <c r="H27" s="153">
        <f t="shared" si="6"/>
        <v>1258.6099999999999</v>
      </c>
      <c r="I27" s="154">
        <f t="shared" si="6"/>
        <v>0</v>
      </c>
      <c r="J27" s="154">
        <f t="shared" si="6"/>
        <v>0</v>
      </c>
      <c r="K27" s="153">
        <f t="shared" si="6"/>
        <v>152</v>
      </c>
      <c r="L27" s="154">
        <f t="shared" si="6"/>
        <v>0</v>
      </c>
      <c r="M27" s="153">
        <f t="shared" si="6"/>
        <v>430.00000000000006</v>
      </c>
      <c r="N27" s="154">
        <f t="shared" si="6"/>
        <v>14604.22</v>
      </c>
      <c r="O27" s="155">
        <v>0.4</v>
      </c>
      <c r="P27" s="153">
        <f>SUM(P21:P26)</f>
        <v>34404.400000000001</v>
      </c>
      <c r="Q27" s="154">
        <f>SUM(Q21:Q26)</f>
        <v>34958</v>
      </c>
      <c r="R27" s="154">
        <f>SUM(R21:R26)</f>
        <v>821.8397197273157</v>
      </c>
    </row>
    <row r="28" spans="1:20" ht="18.75" x14ac:dyDescent="0.25">
      <c r="A28" s="156" t="s">
        <v>95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</row>
    <row r="29" spans="1:20" ht="16.149999999999999" customHeight="1" x14ac:dyDescent="0.25">
      <c r="A29" s="156" t="s">
        <v>96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</row>
    <row r="30" spans="1:20" ht="19.149999999999999" customHeight="1" x14ac:dyDescent="0.25">
      <c r="A30" s="156" t="s">
        <v>97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</row>
    <row r="31" spans="1:20" ht="20.45" customHeight="1" x14ac:dyDescent="0.25">
      <c r="A31" s="156" t="s">
        <v>98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</row>
    <row r="32" spans="1:20" ht="17.45" customHeight="1" x14ac:dyDescent="0.25">
      <c r="A32" s="156" t="s">
        <v>99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</row>
    <row r="33" s="301" customFormat="1" ht="18.600000000000001" customHeight="1" x14ac:dyDescent="0.25"/>
  </sheetData>
  <mergeCells count="24">
    <mergeCell ref="Q15:Q17"/>
    <mergeCell ref="R15:R17"/>
    <mergeCell ref="B16:B17"/>
    <mergeCell ref="C16:C17"/>
    <mergeCell ref="D16:D17"/>
    <mergeCell ref="L16:L17"/>
    <mergeCell ref="M16:M17"/>
    <mergeCell ref="N16:O17"/>
    <mergeCell ref="A33:XFD33"/>
    <mergeCell ref="A3:U3"/>
    <mergeCell ref="O6:R6"/>
    <mergeCell ref="O7:R7"/>
    <mergeCell ref="O8:S8"/>
    <mergeCell ref="E16:F17"/>
    <mergeCell ref="G16:G17"/>
    <mergeCell ref="H16:H17"/>
    <mergeCell ref="I16:I17"/>
    <mergeCell ref="J16:J17"/>
    <mergeCell ref="K16:K17"/>
    <mergeCell ref="A10:R10"/>
    <mergeCell ref="A12:R12"/>
    <mergeCell ref="A15:A17"/>
    <mergeCell ref="B15:F15"/>
    <mergeCell ref="G15:O15"/>
  </mergeCells>
  <pageMargins left="0" right="0" top="0" bottom="0" header="0.31496062992125984" footer="0.31496062992125984"/>
  <pageSetup paperSize="9" scale="49" fitToHeight="0" orientation="landscape" r:id="rId1"/>
  <headerFooter>
    <oddHeader>&amp;C7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T32"/>
  <sheetViews>
    <sheetView view="pageLayout" zoomScaleNormal="86" workbookViewId="0">
      <selection activeCell="F1" sqref="F1"/>
    </sheetView>
  </sheetViews>
  <sheetFormatPr defaultColWidth="9.140625" defaultRowHeight="14.25" x14ac:dyDescent="0.2"/>
  <cols>
    <col min="1" max="1" width="38" style="81" customWidth="1"/>
    <col min="2" max="2" width="11.28515625" style="81" customWidth="1"/>
    <col min="3" max="3" width="9.85546875" style="81" customWidth="1"/>
    <col min="4" max="4" width="9.140625" style="81"/>
    <col min="5" max="5" width="12" style="81" customWidth="1"/>
    <col min="6" max="6" width="10.85546875" style="81" customWidth="1"/>
    <col min="7" max="7" width="10.5703125" style="81" customWidth="1"/>
    <col min="8" max="13" width="9.140625" style="81"/>
    <col min="14" max="14" width="11.28515625" style="81" customWidth="1"/>
    <col min="15" max="15" width="11.42578125" style="81" customWidth="1"/>
    <col min="16" max="16" width="14.42578125" style="81" customWidth="1"/>
    <col min="17" max="17" width="10.5703125" style="81" customWidth="1"/>
    <col min="18" max="16384" width="9.140625" style="81"/>
  </cols>
  <sheetData>
    <row r="2" spans="1:18" ht="18" customHeight="1" x14ac:dyDescent="0.25">
      <c r="K2" s="115"/>
      <c r="L2" s="115"/>
      <c r="M2" s="115"/>
      <c r="N2" s="115"/>
      <c r="O2" s="218" t="s">
        <v>107</v>
      </c>
      <c r="P2" s="218"/>
      <c r="Q2" s="218"/>
      <c r="R2" s="218"/>
    </row>
    <row r="3" spans="1:18" ht="18" customHeight="1" x14ac:dyDescent="0.25">
      <c r="K3" s="115"/>
      <c r="L3" s="115"/>
      <c r="M3" s="115"/>
      <c r="N3" s="115"/>
      <c r="O3" s="232" t="s">
        <v>108</v>
      </c>
      <c r="P3" s="232"/>
      <c r="Q3" s="232"/>
      <c r="R3" s="232"/>
    </row>
    <row r="4" spans="1:18" ht="18" customHeight="1" x14ac:dyDescent="0.25">
      <c r="K4" s="117"/>
      <c r="L4" s="117"/>
      <c r="M4" s="117"/>
      <c r="N4" s="115"/>
      <c r="O4" s="232" t="s">
        <v>81</v>
      </c>
      <c r="P4" s="232"/>
      <c r="Q4" s="232"/>
      <c r="R4" s="232"/>
    </row>
    <row r="5" spans="1:18" ht="18" customHeight="1" x14ac:dyDescent="0.25">
      <c r="K5" s="116"/>
      <c r="L5" s="116"/>
      <c r="M5" s="116"/>
      <c r="N5" s="115"/>
      <c r="O5" s="233" t="s">
        <v>83</v>
      </c>
      <c r="P5" s="233"/>
      <c r="Q5" s="233"/>
      <c r="R5" s="233"/>
    </row>
    <row r="8" spans="1:18" ht="18" x14ac:dyDescent="0.25">
      <c r="A8" s="274" t="s">
        <v>80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</row>
    <row r="9" spans="1:18" ht="15" x14ac:dyDescent="0.2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</row>
    <row r="10" spans="1:18" ht="35.25" customHeight="1" x14ac:dyDescent="0.2">
      <c r="A10" s="275" t="s">
        <v>109</v>
      </c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</row>
    <row r="12" spans="1:18" ht="15" thickBot="1" x14ac:dyDescent="0.25"/>
    <row r="13" spans="1:18" ht="68.25" customHeight="1" thickBot="1" x14ac:dyDescent="0.25">
      <c r="A13" s="334" t="s">
        <v>0</v>
      </c>
      <c r="B13" s="336" t="s">
        <v>15</v>
      </c>
      <c r="C13" s="337"/>
      <c r="D13" s="337"/>
      <c r="E13" s="337"/>
      <c r="F13" s="337"/>
      <c r="G13" s="338" t="s">
        <v>16</v>
      </c>
      <c r="H13" s="339"/>
      <c r="I13" s="339"/>
      <c r="J13" s="339"/>
      <c r="K13" s="339"/>
      <c r="L13" s="339"/>
      <c r="M13" s="339"/>
      <c r="N13" s="339"/>
      <c r="O13" s="340"/>
      <c r="P13" s="216" t="s">
        <v>1</v>
      </c>
      <c r="Q13" s="341" t="s">
        <v>2</v>
      </c>
      <c r="R13" s="343" t="s">
        <v>30</v>
      </c>
    </row>
    <row r="14" spans="1:18" ht="22.5" customHeight="1" x14ac:dyDescent="0.2">
      <c r="A14" s="335"/>
      <c r="B14" s="345" t="s">
        <v>77</v>
      </c>
      <c r="C14" s="345" t="s">
        <v>4</v>
      </c>
      <c r="D14" s="345" t="s">
        <v>5</v>
      </c>
      <c r="E14" s="346" t="s">
        <v>110</v>
      </c>
      <c r="F14" s="347"/>
      <c r="G14" s="329" t="s">
        <v>75</v>
      </c>
      <c r="H14" s="328" t="s">
        <v>14</v>
      </c>
      <c r="I14" s="328" t="s">
        <v>18</v>
      </c>
      <c r="J14" s="328" t="s">
        <v>19</v>
      </c>
      <c r="K14" s="329" t="s">
        <v>20</v>
      </c>
      <c r="L14" s="330" t="s">
        <v>21</v>
      </c>
      <c r="M14" s="332" t="s">
        <v>22</v>
      </c>
      <c r="N14" s="324" t="s">
        <v>74</v>
      </c>
      <c r="O14" s="325"/>
      <c r="P14" s="217" t="s">
        <v>24</v>
      </c>
      <c r="Q14" s="329"/>
      <c r="R14" s="344"/>
    </row>
    <row r="15" spans="1:18" ht="68.25" customHeight="1" thickBot="1" x14ac:dyDescent="0.25">
      <c r="A15" s="335"/>
      <c r="B15" s="328"/>
      <c r="C15" s="328"/>
      <c r="D15" s="328"/>
      <c r="E15" s="329"/>
      <c r="F15" s="348"/>
      <c r="G15" s="329"/>
      <c r="H15" s="328"/>
      <c r="I15" s="328"/>
      <c r="J15" s="328"/>
      <c r="K15" s="329"/>
      <c r="L15" s="331"/>
      <c r="M15" s="333"/>
      <c r="N15" s="326"/>
      <c r="O15" s="327"/>
      <c r="P15" s="183"/>
      <c r="Q15" s="342"/>
      <c r="R15" s="344"/>
    </row>
    <row r="16" spans="1:18" ht="38.25" customHeight="1" thickBot="1" x14ac:dyDescent="0.25">
      <c r="A16" s="184"/>
      <c r="B16" s="185" t="s">
        <v>10</v>
      </c>
      <c r="C16" s="185" t="s">
        <v>10</v>
      </c>
      <c r="D16" s="185" t="s">
        <v>10</v>
      </c>
      <c r="E16" s="185" t="s">
        <v>10</v>
      </c>
      <c r="F16" s="186" t="s">
        <v>111</v>
      </c>
      <c r="G16" s="185" t="s">
        <v>10</v>
      </c>
      <c r="H16" s="185" t="s">
        <v>10</v>
      </c>
      <c r="I16" s="185" t="s">
        <v>10</v>
      </c>
      <c r="J16" s="185" t="s">
        <v>10</v>
      </c>
      <c r="K16" s="185" t="s">
        <v>10</v>
      </c>
      <c r="L16" s="185" t="s">
        <v>10</v>
      </c>
      <c r="M16" s="185" t="s">
        <v>10</v>
      </c>
      <c r="N16" s="185" t="s">
        <v>10</v>
      </c>
      <c r="O16" s="186" t="s">
        <v>112</v>
      </c>
      <c r="P16" s="187" t="s">
        <v>10</v>
      </c>
      <c r="Q16" s="188" t="s">
        <v>113</v>
      </c>
      <c r="R16" s="186" t="s">
        <v>27</v>
      </c>
    </row>
    <row r="17" spans="1:20" ht="19.5" customHeight="1" thickBot="1" x14ac:dyDescent="0.25">
      <c r="A17" s="189">
        <v>1</v>
      </c>
      <c r="B17" s="189">
        <v>2</v>
      </c>
      <c r="C17" s="189">
        <v>3</v>
      </c>
      <c r="D17" s="189">
        <v>4</v>
      </c>
      <c r="E17" s="189">
        <v>5</v>
      </c>
      <c r="F17" s="189">
        <v>6</v>
      </c>
      <c r="G17" s="189">
        <v>7</v>
      </c>
      <c r="H17" s="189">
        <v>8</v>
      </c>
      <c r="I17" s="189">
        <v>9</v>
      </c>
      <c r="J17" s="189">
        <v>10</v>
      </c>
      <c r="K17" s="189">
        <v>11</v>
      </c>
      <c r="L17" s="189">
        <v>12</v>
      </c>
      <c r="M17" s="189">
        <v>13</v>
      </c>
      <c r="N17" s="189">
        <v>14</v>
      </c>
      <c r="O17" s="189">
        <v>15</v>
      </c>
      <c r="P17" s="189">
        <v>16</v>
      </c>
      <c r="Q17" s="190">
        <v>17</v>
      </c>
      <c r="R17" s="191">
        <v>18</v>
      </c>
    </row>
    <row r="18" spans="1:20" x14ac:dyDescent="0.2">
      <c r="A18" s="192" t="s">
        <v>8</v>
      </c>
      <c r="B18" s="193"/>
      <c r="C18" s="193"/>
      <c r="D18" s="193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5"/>
      <c r="R18" s="196"/>
    </row>
    <row r="19" spans="1:20" s="205" customFormat="1" ht="48" x14ac:dyDescent="0.2">
      <c r="A19" s="197" t="s">
        <v>114</v>
      </c>
      <c r="B19" s="198">
        <v>17155.77</v>
      </c>
      <c r="C19" s="198">
        <v>225.85</v>
      </c>
      <c r="D19" s="199">
        <v>29.02</v>
      </c>
      <c r="E19" s="200">
        <f>SUM(B19:D19)</f>
        <v>17410.64</v>
      </c>
      <c r="F19" s="200">
        <f>E19/Q19</f>
        <v>131.89878787878789</v>
      </c>
      <c r="G19" s="201">
        <v>4757.26</v>
      </c>
      <c r="H19" s="201">
        <v>0</v>
      </c>
      <c r="I19" s="201">
        <v>0</v>
      </c>
      <c r="J19" s="201">
        <v>0</v>
      </c>
      <c r="K19" s="201">
        <v>0</v>
      </c>
      <c r="L19" s="201">
        <v>0</v>
      </c>
      <c r="M19" s="201">
        <v>0</v>
      </c>
      <c r="N19" s="201">
        <f>SUM(G19:M19)</f>
        <v>4757.26</v>
      </c>
      <c r="O19" s="201">
        <f>N19/Q19</f>
        <v>36.039848484848484</v>
      </c>
      <c r="P19" s="200">
        <f>E19+N19</f>
        <v>22167.9</v>
      </c>
      <c r="Q19" s="202">
        <v>132</v>
      </c>
      <c r="R19" s="203">
        <f>P19/Q19</f>
        <v>167.93863636363636</v>
      </c>
      <c r="S19" s="204"/>
      <c r="T19" s="204"/>
    </row>
    <row r="20" spans="1:20" s="205" customFormat="1" ht="52.5" customHeight="1" x14ac:dyDescent="0.2">
      <c r="A20" s="197" t="s">
        <v>115</v>
      </c>
      <c r="B20" s="198">
        <v>39379.71</v>
      </c>
      <c r="C20" s="198">
        <v>518.41999999999996</v>
      </c>
      <c r="D20" s="199">
        <v>66.599999999999994</v>
      </c>
      <c r="E20" s="200">
        <f>SUM(B20:D20)</f>
        <v>39964.729999999996</v>
      </c>
      <c r="F20" s="200">
        <f t="shared" ref="F20:F24" si="0">E20/Q20</f>
        <v>131.89679867986797</v>
      </c>
      <c r="G20" s="201">
        <v>10920.08</v>
      </c>
      <c r="H20" s="201">
        <v>0</v>
      </c>
      <c r="I20" s="201">
        <v>0</v>
      </c>
      <c r="J20" s="201">
        <v>0</v>
      </c>
      <c r="K20" s="201">
        <v>0</v>
      </c>
      <c r="L20" s="201">
        <v>0</v>
      </c>
      <c r="M20" s="201">
        <v>0</v>
      </c>
      <c r="N20" s="201">
        <f>SUM(G20:M20)</f>
        <v>10920.08</v>
      </c>
      <c r="O20" s="201">
        <f t="shared" ref="O20:O24" si="1">N20/Q20</f>
        <v>36.039867986798683</v>
      </c>
      <c r="P20" s="200">
        <f>E20+N20</f>
        <v>50884.81</v>
      </c>
      <c r="Q20" s="202">
        <v>303</v>
      </c>
      <c r="R20" s="203">
        <f t="shared" ref="R20:R23" si="2">P20/Q20</f>
        <v>167.93666666666667</v>
      </c>
      <c r="S20" s="204"/>
      <c r="T20" s="204"/>
    </row>
    <row r="21" spans="1:20" s="205" customFormat="1" ht="60" x14ac:dyDescent="0.2">
      <c r="A21" s="197" t="s">
        <v>116</v>
      </c>
      <c r="B21" s="198">
        <v>11047.28</v>
      </c>
      <c r="C21" s="198">
        <v>145.43</v>
      </c>
      <c r="D21" s="199">
        <v>18.68</v>
      </c>
      <c r="E21" s="200">
        <f>SUM(B21:D21)</f>
        <v>11211.390000000001</v>
      </c>
      <c r="F21" s="200">
        <f t="shared" si="0"/>
        <v>131.89870588235294</v>
      </c>
      <c r="G21" s="201">
        <v>3063.39</v>
      </c>
      <c r="H21" s="201">
        <v>0</v>
      </c>
      <c r="I21" s="201">
        <v>0</v>
      </c>
      <c r="J21" s="201">
        <v>0</v>
      </c>
      <c r="K21" s="201">
        <v>0</v>
      </c>
      <c r="L21" s="201">
        <v>0</v>
      </c>
      <c r="M21" s="201">
        <v>0</v>
      </c>
      <c r="N21" s="201">
        <f t="shared" ref="N21" si="3">SUM(G21:M21)</f>
        <v>3063.39</v>
      </c>
      <c r="O21" s="201">
        <f t="shared" si="1"/>
        <v>36.039882352941177</v>
      </c>
      <c r="P21" s="200">
        <f>E21+N21</f>
        <v>14274.78</v>
      </c>
      <c r="Q21" s="202">
        <v>85</v>
      </c>
      <c r="R21" s="203">
        <f t="shared" si="2"/>
        <v>167.93858823529413</v>
      </c>
    </row>
    <row r="22" spans="1:20" s="205" customFormat="1" ht="36" x14ac:dyDescent="0.2">
      <c r="A22" s="206" t="s">
        <v>117</v>
      </c>
      <c r="B22" s="199">
        <v>0</v>
      </c>
      <c r="C22" s="198">
        <v>343.23</v>
      </c>
      <c r="D22" s="199">
        <v>0</v>
      </c>
      <c r="E22" s="200">
        <f t="shared" ref="E22" si="4">SUM(B22:D22)</f>
        <v>343.23</v>
      </c>
      <c r="F22" s="200">
        <f t="shared" si="0"/>
        <v>2.6002272727272731</v>
      </c>
      <c r="G22" s="201">
        <v>5816.01</v>
      </c>
      <c r="H22" s="201">
        <v>1277.6790000000001</v>
      </c>
      <c r="I22" s="207">
        <v>691.34</v>
      </c>
      <c r="J22" s="201">
        <v>355.81</v>
      </c>
      <c r="K22" s="201">
        <v>84.63</v>
      </c>
      <c r="L22" s="207">
        <v>0</v>
      </c>
      <c r="M22" s="201">
        <v>297.69</v>
      </c>
      <c r="N22" s="201">
        <f>SUM(G22:M22)-0.02</f>
        <v>8523.139000000001</v>
      </c>
      <c r="O22" s="201">
        <f t="shared" si="1"/>
        <v>64.569234848484854</v>
      </c>
      <c r="P22" s="200">
        <f>E22+N22</f>
        <v>8866.3690000000006</v>
      </c>
      <c r="Q22" s="208">
        <v>132</v>
      </c>
      <c r="R22" s="203">
        <f t="shared" si="2"/>
        <v>67.169462121212121</v>
      </c>
    </row>
    <row r="23" spans="1:20" s="205" customFormat="1" ht="36.75" thickBot="1" x14ac:dyDescent="0.25">
      <c r="A23" s="209" t="s">
        <v>118</v>
      </c>
      <c r="B23" s="210">
        <v>0</v>
      </c>
      <c r="C23" s="198">
        <v>1008.87</v>
      </c>
      <c r="D23" s="210">
        <v>0</v>
      </c>
      <c r="E23" s="211">
        <f t="shared" ref="E23" si="5">B23+C23+D23</f>
        <v>1008.87</v>
      </c>
      <c r="F23" s="200">
        <f t="shared" si="0"/>
        <v>2.6001804123711341</v>
      </c>
      <c r="G23" s="201">
        <v>17095.53</v>
      </c>
      <c r="H23" s="210">
        <v>3755.59</v>
      </c>
      <c r="I23" s="207">
        <v>2032.12</v>
      </c>
      <c r="J23" s="201">
        <v>1045.8499999999999</v>
      </c>
      <c r="K23" s="210">
        <v>248.76</v>
      </c>
      <c r="L23" s="210">
        <v>0</v>
      </c>
      <c r="M23" s="201">
        <v>875.01</v>
      </c>
      <c r="N23" s="201">
        <f>SUM(G23:M23)</f>
        <v>25052.859999999993</v>
      </c>
      <c r="O23" s="201">
        <f t="shared" si="1"/>
        <v>64.569226804123687</v>
      </c>
      <c r="P23" s="212">
        <f>E23+N23</f>
        <v>26061.729999999992</v>
      </c>
      <c r="Q23" s="213">
        <v>388</v>
      </c>
      <c r="R23" s="203">
        <f t="shared" si="2"/>
        <v>67.169407216494832</v>
      </c>
    </row>
    <row r="24" spans="1:20" ht="15" thickBot="1" x14ac:dyDescent="0.25">
      <c r="A24" s="214" t="s">
        <v>9</v>
      </c>
      <c r="B24" s="88">
        <f>SUM(B19:B23)</f>
        <v>67582.759999999995</v>
      </c>
      <c r="C24" s="88">
        <f>SUM(C19:C23)</f>
        <v>2241.8000000000002</v>
      </c>
      <c r="D24" s="89">
        <f>SUM(D19:D23)</f>
        <v>114.29999999999998</v>
      </c>
      <c r="E24" s="88">
        <f>SUM(E19:E23)</f>
        <v>69938.859999999986</v>
      </c>
      <c r="F24" s="200">
        <f t="shared" si="0"/>
        <v>134.49780769230767</v>
      </c>
      <c r="G24" s="89">
        <f>SUM(G19:G23)</f>
        <v>41652.269999999997</v>
      </c>
      <c r="H24" s="89">
        <f>SUM(H19:H23)</f>
        <v>5033.2690000000002</v>
      </c>
      <c r="I24" s="89">
        <f t="shared" ref="I24" si="6">SUM(I22:I23)</f>
        <v>2723.46</v>
      </c>
      <c r="J24" s="89">
        <f>SUM(J19:J23)</f>
        <v>1401.6599999999999</v>
      </c>
      <c r="K24" s="89">
        <f>SUM(K19:K23)</f>
        <v>333.39</v>
      </c>
      <c r="L24" s="89">
        <f>SUM(L22:L23)</f>
        <v>0</v>
      </c>
      <c r="M24" s="89">
        <f>SUM(M19:M23)</f>
        <v>1172.7</v>
      </c>
      <c r="N24" s="89">
        <f>SUM(N19:N23)</f>
        <v>52316.728999999992</v>
      </c>
      <c r="O24" s="201">
        <f t="shared" si="1"/>
        <v>100.60909423076922</v>
      </c>
      <c r="P24" s="86">
        <f>SUM(P19:P23)</f>
        <v>122255.58899999999</v>
      </c>
      <c r="Q24" s="215">
        <v>520</v>
      </c>
      <c r="R24" s="203">
        <f>P24/Q24</f>
        <v>235.10690192307692</v>
      </c>
    </row>
    <row r="25" spans="1:20" x14ac:dyDescent="0.2">
      <c r="A25" s="83"/>
    </row>
    <row r="26" spans="1:20" x14ac:dyDescent="0.2">
      <c r="A26" s="83" t="s">
        <v>70</v>
      </c>
    </row>
    <row r="27" spans="1:20" x14ac:dyDescent="0.2">
      <c r="A27" s="83" t="s">
        <v>69</v>
      </c>
    </row>
    <row r="28" spans="1:20" x14ac:dyDescent="0.2">
      <c r="A28" s="83" t="s">
        <v>68</v>
      </c>
    </row>
    <row r="29" spans="1:20" x14ac:dyDescent="0.2">
      <c r="A29" s="83" t="s">
        <v>67</v>
      </c>
    </row>
    <row r="30" spans="1:20" x14ac:dyDescent="0.2">
      <c r="A30" s="83" t="s">
        <v>66</v>
      </c>
    </row>
    <row r="31" spans="1:20" x14ac:dyDescent="0.2">
      <c r="A31" s="83"/>
    </row>
    <row r="32" spans="1:20" x14ac:dyDescent="0.2">
      <c r="F32" s="81" t="s">
        <v>119</v>
      </c>
    </row>
  </sheetData>
  <mergeCells count="22">
    <mergeCell ref="O3:R3"/>
    <mergeCell ref="O4:R4"/>
    <mergeCell ref="O5:R5"/>
    <mergeCell ref="A8:R8"/>
    <mergeCell ref="A10:R10"/>
    <mergeCell ref="A13:A15"/>
    <mergeCell ref="B13:F13"/>
    <mergeCell ref="G13:O13"/>
    <mergeCell ref="Q13:Q15"/>
    <mergeCell ref="R13:R15"/>
    <mergeCell ref="B14:B15"/>
    <mergeCell ref="C14:C15"/>
    <mergeCell ref="D14:D15"/>
    <mergeCell ref="E14:F15"/>
    <mergeCell ref="G14:G15"/>
    <mergeCell ref="N14:O15"/>
    <mergeCell ref="H14:H15"/>
    <mergeCell ref="I14:I15"/>
    <mergeCell ref="J14:J15"/>
    <mergeCell ref="K14:K15"/>
    <mergeCell ref="L14:L15"/>
    <mergeCell ref="M14:M15"/>
  </mergeCells>
  <pageMargins left="0.78740157480314965" right="0.78740157480314965" top="0.39370078740157483" bottom="0.59055118110236227" header="0.31496062992125984" footer="0.31496062992125984"/>
  <pageSetup paperSize="9" scale="60" orientation="landscape" r:id="rId1"/>
  <headerFooter>
    <oddHeader>&amp;C8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СШ25</vt:lpstr>
      <vt:lpstr>ДШИ </vt:lpstr>
      <vt:lpstr>Приложение 5 ДЮСШ</vt:lpstr>
      <vt:lpstr>Приложение 6 СЮТ</vt:lpstr>
      <vt:lpstr>ДК</vt:lpstr>
      <vt:lpstr>Приложение  АЛЕНУШКА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2024-02-28T08:30:38Z</dcterms:modified>
</cp:coreProperties>
</file>